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арт" sheetId="1" state="visible" r:id="rId3"/>
    <sheet name="Ввод данных" sheetId="2" state="visible" r:id="rId4"/>
    <sheet name="Расчёт ABC-XYZ" sheetId="3" state="visible" r:id="rId5"/>
    <sheet name="Матрица" sheetId="4" state="visible" r:id="rId6"/>
    <sheet name="Графики" sheetId="5" state="visible" r:id="rId7"/>
    <sheet name="Справочник" sheetId="6" state="visible" r:id="rId8"/>
    <sheet name="Практика" sheetId="7" state="visible" r:id="rId9"/>
  </sheets>
  <definedNames>
    <definedName function="false" hidden="false" localSheetId="1" name="_xlnm.Print_Area" vbProcedure="false">'Ввод данных'!$A$1:$U$34</definedName>
    <definedName function="false" hidden="false" localSheetId="4" name="_xlnm.Print_Area" vbProcedure="false">Графики!$A$1:$U$55</definedName>
    <definedName function="false" hidden="false" localSheetId="3" name="_xlnm.Print_Area" vbProcedure="false">Матрица!$A$1:$G$36</definedName>
    <definedName function="false" hidden="false" localSheetId="6" name="_xlnm.Print_Area" vbProcedure="false">Практика!$A$1:$H$45</definedName>
    <definedName function="false" hidden="false" localSheetId="2" name="_xlnm.Print_Area" vbProcedure="false">'Расчёт ABC-XYZ'!$A$1:$Q$44</definedName>
    <definedName function="false" hidden="false" localSheetId="5" name="_xlnm.Print_Area" vbProcedure="false">Справочник!$A$1:$E$55</definedName>
    <definedName function="false" hidden="false" localSheetId="0" name="_xlnm.Print_Area" vbProcedure="false">Старт!$B$1:$E$35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<sst xmlns="http://schemas.openxmlformats.org/spreadsheetml/2006/main" count="416" uniqueCount="380">
  <si>
    <t xml:space="preserve">Шаблон 1.2 · ABC-XYZ: приоритеты в ассортименте</t>
  </si>
  <si>
    <t xml:space="preserve">Курс «Управление запасами: ABC-XYZ, прогноз спроса и EOQ в Excel» · Дмитрий Фролов · SCM_1_2_ABC_XYZ_Template.xlsx</t>
  </si>
  <si>
    <t xml:space="preserve">Что делает файл</t>
  </si>
  <si>
    <t xml:space="preserve">Берёт список SKU с ценой и 12 месяцами продаж, считает выручку, долю и накопленную долю (ABC) и коэффициент вариации CV = σ / μ (XYZ), собирает матрицу 3×3 и показывает рядом с каждым числом, из чего оно получено. Сортировать данные не нужно. Учебные данные — пять SKU за 12 месяцев — совпадают с заданием 1.2 и с «Разбором на числах» конспекта.</t>
  </si>
  <si>
    <t xml:space="preserve">Как работать</t>
  </si>
  <si>
    <t xml:space="preserve">1</t>
  </si>
  <si>
    <t xml:space="preserve">Лист «Ввод данных»</t>
  </si>
  <si>
    <t xml:space="preserve">Заполните жёлтые ячейки: SKU, наименование, цена (D) и 12 месячных объёмов (E:P). Пустые строки расчёту не мешают.</t>
  </si>
  <si>
    <t xml:space="preserve">2</t>
  </si>
  <si>
    <t xml:space="preserve">Лист «Расчёт ABC-XYZ»</t>
  </si>
  <si>
    <t xml:space="preserve">Выручка, доля, накопленная доля, ABC, μ, σ, CV и XYZ по каждой строке. Пороги — в жёлтых ячейках внизу листа.</t>
  </si>
  <si>
    <t xml:space="preserve">3</t>
  </si>
  <si>
    <t xml:space="preserve">Лист «Матрица»</t>
  </si>
  <si>
    <t xml:space="preserve">Матрица 3×3 с числом SKU и долей выручки, блок «Ответ задания 1.2» и диагностика данных.</t>
  </si>
  <si>
    <t xml:space="preserve">4</t>
  </si>
  <si>
    <t xml:space="preserve">Лист «Практика»</t>
  </si>
  <si>
    <t xml:space="preserve">Три задачи из конспекта (стр. 3) с автоматической проверкой ответа.</t>
  </si>
  <si>
    <t xml:space="preserve">Обозначения</t>
  </si>
  <si>
    <t xml:space="preserve">120</t>
  </si>
  <si>
    <t xml:space="preserve">жёлтая ячейка — ваш ввод</t>
  </si>
  <si>
    <t xml:space="preserve">=σ / μ</t>
  </si>
  <si>
    <t xml:space="preserve">белая ячейка — формула, менять не нужно</t>
  </si>
  <si>
    <t xml:space="preserve">текст</t>
  </si>
  <si>
    <t xml:space="preserve">серая ячейка — условие или пояснение</t>
  </si>
  <si>
    <t xml:space="preserve">Правила данных</t>
  </si>
  <si>
    <t xml:space="preserve">•</t>
  </si>
  <si>
    <t xml:space="preserve">Одна база для ABC: в этом файле — выручка за 12 месяцев (цена × годовой объём). Не смешивайте выручку с объёмом или маржой.</t>
  </si>
  <si>
    <t xml:space="preserve">Полные 12 месяцев на каждую SKU: строка с пропуском в расчёт не идёт — так видно, что истории не хватает.</t>
  </si>
  <si>
    <t xml:space="preserve">Пропуск не равен нулю: пустая ячейка означает «нет данных», ноль означает «продаж не было».</t>
  </si>
  <si>
    <t xml:space="preserve">Пограничный SKU относится по правилу шаблона: A — накопленная доля ≤ 80 %, B — до 95 %. Равная выручка получает общую накопленную долю.</t>
  </si>
  <si>
    <t xml:space="preserve">При среднем спросе 0 коэффициент вариации не определён: в столбце K будет n.a., а не X.</t>
  </si>
  <si>
    <t xml:space="preserve">Карта листов</t>
  </si>
  <si>
    <t xml:space="preserve">Лист</t>
  </si>
  <si>
    <t xml:space="preserve">Что на нём</t>
  </si>
  <si>
    <t xml:space="preserve">Что делать вам</t>
  </si>
  <si>
    <t xml:space="preserve">Ввод данных</t>
  </si>
  <si>
    <t xml:space="preserve">До 30 SKU: цена и 12 месячных объёмов, флаг полной строки и подсказка по каждой строке</t>
  </si>
  <si>
    <t xml:space="preserve">Заполнить жёлтые столбцы B, C, D и E:P</t>
  </si>
  <si>
    <t xml:space="preserve">Расчёт ABC-XYZ</t>
  </si>
  <si>
    <t xml:space="preserve">Выручка, доля, накопленная доля, ABC, μ, σ, CV, XYZ, сегмент и рекомендация; пороги сегментации</t>
  </si>
  <si>
    <t xml:space="preserve">Читать; при необходимости изменить пороги</t>
  </si>
  <si>
    <t xml:space="preserve">Матрица</t>
  </si>
  <si>
    <t xml:space="preserve">Карточки, матрица 3×3, блок «Ответ задания 1.2», диагностика данных</t>
  </si>
  <si>
    <t xml:space="preserve">Прочитать; ответ задания 1.2 — отсюда</t>
  </si>
  <si>
    <t xml:space="preserve">Графики</t>
  </si>
  <si>
    <t xml:space="preserve">Парето по доле выручки, CV по SKU, точечная «доля — CV»</t>
  </si>
  <si>
    <t xml:space="preserve">Посмотреть; при необходимости растянуть диапазон</t>
  </si>
  <si>
    <t xml:space="preserve">Справочник</t>
  </si>
  <si>
    <t xml:space="preserve">Девять сегментов, буквы матрицы, границы метода, функции Excel</t>
  </si>
  <si>
    <t xml:space="preserve">Читать при разборе результата</t>
  </si>
  <si>
    <t xml:space="preserve">Практика</t>
  </si>
  <si>
    <t xml:space="preserve">Три задачи конспекта с проверкой</t>
  </si>
  <si>
    <t xml:space="preserve">Заполнить жёлтые ячейки и сверить</t>
  </si>
  <si>
    <t xml:space="preserve">Версия 5 · сентябрь 2026 · Формулы без макросов, работают в Excel 2007 и новее и в LibreOffice. Проценты в файле уже умножены на 100: доля 69,6 означает 69,6 %, коэффициент вариации 3,9 означает 3,9 % — то же самое, что 0,039.</t>
  </si>
  <si>
    <t xml:space="preserve">Ввод данных: до 30 SKU за 12 месяцев</t>
  </si>
  <si>
    <t xml:space="preserve">Заполните жёлтые ячейки: SKU, наименование, цена и двенадцать месячных объёмов. Остальное считается само. Учебные данные — пять SKU (B5:P9), как в задании 1.2.</t>
  </si>
  <si>
    <t xml:space="preserve">№</t>
  </si>
  <si>
    <t xml:space="preserve">SKU</t>
  </si>
  <si>
    <t xml:space="preserve">Наименование</t>
  </si>
  <si>
    <t xml:space="preserve">Цена, ₽</t>
  </si>
  <si>
    <t xml:space="preserve">Янв</t>
  </si>
  <si>
    <t xml:space="preserve">Фев</t>
  </si>
  <si>
    <t xml:space="preserve">Мар</t>
  </si>
  <si>
    <t xml:space="preserve">Апр</t>
  </si>
  <si>
    <t xml:space="preserve">Май</t>
  </si>
  <si>
    <t xml:space="preserve">Июн</t>
  </si>
  <si>
    <t xml:space="preserve">Июл</t>
  </si>
  <si>
    <t xml:space="preserve">Авг</t>
  </si>
  <si>
    <t xml:space="preserve">Сен</t>
  </si>
  <si>
    <t xml:space="preserve">Окт</t>
  </si>
  <si>
    <t xml:space="preserve">Ноя</t>
  </si>
  <si>
    <t xml:space="preserve">Дек</t>
  </si>
  <si>
    <t xml:space="preserve">Стр.</t>
  </si>
  <si>
    <t xml:space="preserve">Что видно в строке</t>
  </si>
  <si>
    <t xml:space="preserve">Проверка ввода</t>
  </si>
  <si>
    <t xml:space="preserve">SKU-001</t>
  </si>
  <si>
    <t xml:space="preserve">Товар А (бестселлер)</t>
  </si>
  <si>
    <t xml:space="preserve">SKU в расчёте</t>
  </si>
  <si>
    <t xml:space="preserve">SKU-002</t>
  </si>
  <si>
    <t xml:space="preserve">Товар Б (сезонный)</t>
  </si>
  <si>
    <t xml:space="preserve">Строк заполнено частично</t>
  </si>
  <si>
    <t xml:space="preserve">SKU-003</t>
  </si>
  <si>
    <t xml:space="preserve">Товар В (средний)</t>
  </si>
  <si>
    <t xml:space="preserve">Месяцев в периоде</t>
  </si>
  <si>
    <t xml:space="preserve">SKU-004</t>
  </si>
  <si>
    <t xml:space="preserve">Товар Г (хаотичный)</t>
  </si>
  <si>
    <t xml:space="preserve">Годовой объём, шт</t>
  </si>
  <si>
    <t xml:space="preserve">SKU-005</t>
  </si>
  <si>
    <t xml:space="preserve">Товар Д (неликвид)</t>
  </si>
  <si>
    <t xml:space="preserve">Общая выручка, ₽</t>
  </si>
  <si>
    <t xml:space="preserve">SKU с нулевым спросом</t>
  </si>
  <si>
    <t xml:space="preserve">→ лист «Расчёт ABC-XYZ»</t>
  </si>
  <si>
    <t xml:space="preserve">→ лист «Матрица»</t>
  </si>
  <si>
    <t xml:space="preserve">Строка попадает в расчёт, когда заполнены код SKU, цена и все двенадцать месяцев (столбец Q = 1). Неполная строка не искажает доли: она просто не участвует ни в выручке, ни в ABC.</t>
  </si>
  <si>
    <t xml:space="preserve">Столбец R подсвечен красным у строк, которые заполнены, но в расчёт не попали, и зелёным у строк в расчёте. Нулевые месячные продажи выделены янтарным: ноль — это «продаж не было», а пустая ячейка — «нет данных».</t>
  </si>
  <si>
    <t xml:space="preserve">Расчёт ABC-XYZ по каждой строке</t>
  </si>
  <si>
    <t xml:space="preserve">Сортировать ничего не нужно: накопленная доля считается через СУММЕСЛИ по выручке «не меньше текущей», равная выручка получает общую накопленную долю. Коэффициент вариации показан в процентах: 3,9 % — это σ / μ = 0,039.</t>
  </si>
  <si>
    <t xml:space="preserve">Ед./год, шт</t>
  </si>
  <si>
    <t xml:space="preserve">Выручка, ₽</t>
  </si>
  <si>
    <t xml:space="preserve">Доля, %</t>
  </si>
  <si>
    <t xml:space="preserve">Накопл. доля, %</t>
  </si>
  <si>
    <t xml:space="preserve">ABC</t>
  </si>
  <si>
    <t xml:space="preserve">Среднее μ, шт/мес</t>
  </si>
  <si>
    <t xml:space="preserve">Ст. откл. σ</t>
  </si>
  <si>
    <t xml:space="preserve">Коэф. вар. CV, %</t>
  </si>
  <si>
    <t xml:space="preserve">XYZ</t>
  </si>
  <si>
    <t xml:space="preserve">Итог (ABC-XYZ)</t>
  </si>
  <si>
    <t xml:space="preserve">Рекомендация</t>
  </si>
  <si>
    <t xml:space="preserve">Ранг</t>
  </si>
  <si>
    <t xml:space="preserve">Как получен CV</t>
  </si>
  <si>
    <t xml:space="preserve">Служебный: список AX</t>
  </si>
  <si>
    <t xml:space="preserve">Служебный: список Y</t>
  </si>
  <si>
    <t xml:space="preserve">Служебный: список CZ</t>
  </si>
  <si>
    <t xml:space="preserve">Итого</t>
  </si>
  <si>
    <t xml:space="preserve">строки в расчёте</t>
  </si>
  <si>
    <t xml:space="preserve">Пороги сегментации — политика шаблона, их можно менять</t>
  </si>
  <si>
    <t xml:space="preserve">Порог</t>
  </si>
  <si>
    <t xml:space="preserve">Значение</t>
  </si>
  <si>
    <t xml:space="preserve">Ед.</t>
  </si>
  <si>
    <t xml:space="preserve">Что он задаёт</t>
  </si>
  <si>
    <t xml:space="preserve">A: накопл. доля ≤</t>
  </si>
  <si>
    <t xml:space="preserve">%</t>
  </si>
  <si>
    <t xml:space="preserve">Верхняя граница группы A. В конспекте записана как 80 %.</t>
  </si>
  <si>
    <t xml:space="preserve">B: накопл. доля ≤</t>
  </si>
  <si>
    <t xml:space="preserve">Верхняя граница группы B; всё, что выше, — группа C.</t>
  </si>
  <si>
    <t xml:space="preserve">X: CV ≤</t>
  </si>
  <si>
    <t xml:space="preserve">Граница ровного спроса. В конспекте записана как CV ≤ 0,25 — это те же 25 %.</t>
  </si>
  <si>
    <t xml:space="preserve">Y: CV ≤</t>
  </si>
  <si>
    <t xml:space="preserve">Граница среднего разброса (0,50 = 50 %); выше — группа Z.</t>
  </si>
  <si>
    <t xml:space="preserve">Столбцы R, S и T — служебные: в них строка за строкой собираются списки SKU для блока «Ответ задания 1.2» на листе «Матрица». Менять их не нужно; на печать они не выводятся.</t>
  </si>
  <si>
    <t xml:space="preserve">Матрица ABC-XYZ и ответ задания 1.2</t>
  </si>
  <si>
    <t xml:space="preserve">Всё считается по строкам листа «Расчёт ABC-XYZ», попавшим в расчёт. Проценты уже умножены на 100.</t>
  </si>
  <si>
    <t xml:space="preserve">Топ-1 по выручке</t>
  </si>
  <si>
    <t xml:space="preserve">Группа A</t>
  </si>
  <si>
    <t xml:space="preserve">CV минимальный</t>
  </si>
  <si>
    <t xml:space="preserve">CV максимальный</t>
  </si>
  <si>
    <t xml:space="preserve">Сегмент CZ</t>
  </si>
  <si>
    <t xml:space="preserve">Матрица 3×3: сколько SKU и какая доля выручки</t>
  </si>
  <si>
    <t xml:space="preserve">ABC (доля выручки)  ×  XYZ (коэффициент вариации)</t>
  </si>
  <si>
    <t xml:space="preserve">X · CV ≤ 25 %</t>
  </si>
  <si>
    <t xml:space="preserve">Y · CV ≤ 50 %</t>
  </si>
  <si>
    <t xml:space="preserve">Z · CV &gt; 50 %</t>
  </si>
  <si>
    <t xml:space="preserve">Всего</t>
  </si>
  <si>
    <t xml:space="preserve">В клетке — число SKU и их суммарная доля в выручке. Прочерк означает, что в сегмент не попала ни одна строка. Строки с неопределённым CV (средний спрос 0) в матрицу не входят — они видны в диагностике ниже.</t>
  </si>
  <si>
    <t xml:space="preserve">A · накопл. доля ≤ 80 %</t>
  </si>
  <si>
    <t xml:space="preserve">доля выручки</t>
  </si>
  <si>
    <t xml:space="preserve">B · до 95 %</t>
  </si>
  <si>
    <t xml:space="preserve">C · выше 95 %</t>
  </si>
  <si>
    <t xml:space="preserve">Ответ задания 1.2 (быстрый вариант)</t>
  </si>
  <si>
    <t xml:space="preserve">Что спрашивает задание</t>
  </si>
  <si>
    <t xml:space="preserve">Ответ по вашим данным</t>
  </si>
  <si>
    <t xml:space="preserve">Как он получен</t>
  </si>
  <si>
    <t xml:space="preserve">Самый ценный и стабильный SKU</t>
  </si>
  <si>
    <t xml:space="preserve">Позиция с колеблющимся спросом (Y)</t>
  </si>
  <si>
    <t xml:space="preserve">Кандидаты на проверку критичности (CZ)</t>
  </si>
  <si>
    <t xml:space="preserve">Наблюдение о структуре ассортимента</t>
  </si>
  <si>
    <t xml:space="preserve">В ответе на задание 1.2 назовите эти SKU своими словами по схеме «SKU → сегмент → возможная причина → что проверить → действие» и добавьте одно наблюдение об ассортименте в целом. Буквы матрицы — начало решения, а не команда закупке.</t>
  </si>
  <si>
    <t xml:space="preserve">Диагностика данных</t>
  </si>
  <si>
    <t xml:space="preserve">Показатель</t>
  </si>
  <si>
    <t xml:space="preserve">Что это значит</t>
  </si>
  <si>
    <t xml:space="preserve">Проверка: сумма долей</t>
  </si>
  <si>
    <t xml:space="preserve">SKU в группе A</t>
  </si>
  <si>
    <t xml:space="preserve">SKU с неопределённым CV</t>
  </si>
  <si>
    <t xml:space="preserve">Разрыв между топ-1 и топ-2</t>
  </si>
  <si>
    <t xml:space="preserve">Контроль: строк с выручкой</t>
  </si>
  <si>
    <t xml:space="preserve">ABC отвечает на вопрос «где деньги», XYZ — «насколько ровный спрос». Буквы независимы: ценный товар бывает хаотичным, дешёвый — ровным. Ни одна клетка матрицы не является командой: сначала проверьте критичность, экономику и причину разброса.</t>
  </si>
  <si>
    <t xml:space="preserve">Графики по данным листа «Расчёт ABC-XYZ»</t>
  </si>
  <si>
    <t xml:space="preserve">Таблица ниже выстраивает SKU по рангу выручки через ИНДЕКС и ПОИСКПОЗ — сортировать исходные данные не нужно. Графики построены по строкам 1–5 (учебный пример): если SKU больше, щёлкните по графику и растяните цветную рамку диапазона вниз.</t>
  </si>
  <si>
    <t xml:space="preserve">Данные для графиков (по убыванию выручки)</t>
  </si>
  <si>
    <t xml:space="preserve">Порог A</t>
  </si>
  <si>
    <t xml:space="preserve">Порог B</t>
  </si>
  <si>
    <t xml:space="preserve">CV, %</t>
  </si>
  <si>
    <t xml:space="preserve">Порог X</t>
  </si>
  <si>
    <t xml:space="preserve">Порог Y</t>
  </si>
  <si>
    <t xml:space="preserve">Парето: столбцы — доля каждой SKU в выручке, тёмная линия с точками — накопленная доля, пунктир — пороги A и B. Там, где линия пересекает порог A, заканчивается группа A.</t>
  </si>
  <si>
    <t xml:space="preserve">Второй график показывает тот же ассортимент в другом измерении — разброс спроса. Порядок SKU одинаковый, поэтому видно, что ценность и стабильность между собой не связаны.</t>
  </si>
  <si>
    <t xml:space="preserve">Точечная диаграмма: по горизонтали — доля в выручке, по вертикали — CV. Левый нижний угол — дешёвый и ровный спрос, правый нижний — AX, верхняя часть поля — хаотичный спрос. Какая точка какой SKU, видно по столбцам C, D и H таблицы слева.</t>
  </si>
  <si>
    <t xml:space="preserve">Справочник: сегменты, границы метода, функции</t>
  </si>
  <si>
    <t xml:space="preserve">То же, что в конспекте 1.2, плюс список функций Excel, использованных в файле.</t>
  </si>
  <si>
    <t xml:space="preserve">Что делать с группой — эту таблицу столбец N листа «Расчёт ABC-XYZ» подставляет по сегменту</t>
  </si>
  <si>
    <t xml:space="preserve">Сегмент</t>
  </si>
  <si>
    <t xml:space="preserve">Комментарий</t>
  </si>
  <si>
    <t xml:space="preserve">AX</t>
  </si>
  <si>
    <t xml:space="preserve">Контроль доступности</t>
  </si>
  <si>
    <t xml:space="preserve">Ценно и ровно. Уточните критичность и стоимость дефицита.</t>
  </si>
  <si>
    <t xml:space="preserve">AY</t>
  </si>
  <si>
    <t xml:space="preserve">Сравнить прогнозы</t>
  </si>
  <si>
    <t xml:space="preserve">Ценно, разброс средний. Средний CV не доказывает сезонность.</t>
  </si>
  <si>
    <t xml:space="preserve">AZ</t>
  </si>
  <si>
    <t xml:space="preserve">Разобрать вариативность</t>
  </si>
  <si>
    <t xml:space="preserve">Ценно и неровно. Проверьте сезонность, нули и промо по истории.</t>
  </si>
  <si>
    <t xml:space="preserve">BX</t>
  </si>
  <si>
    <t xml:space="preserve">Регулярный контроль</t>
  </si>
  <si>
    <t xml:space="preserve">Средняя ценность, ровный спрос. Согласуйте частоту пересмотра.</t>
  </si>
  <si>
    <t xml:space="preserve">BY</t>
  </si>
  <si>
    <t xml:space="preserve">Проверить структуру спроса</t>
  </si>
  <si>
    <t xml:space="preserve">Средняя ценность, средний разброс. Сезонность устанавливается по истории.</t>
  </si>
  <si>
    <t xml:space="preserve">BZ</t>
  </si>
  <si>
    <t xml:space="preserve">Сравнить политики</t>
  </si>
  <si>
    <t xml:space="preserve">Высокий CV не требует заказа только под клиента — сравните варианты.</t>
  </si>
  <si>
    <t xml:space="preserve">CX</t>
  </si>
  <si>
    <t xml:space="preserve">Проверить экономику</t>
  </si>
  <si>
    <t xml:space="preserve">Низкая выручка не означает низкую критичность.</t>
  </si>
  <si>
    <t xml:space="preserve">CY</t>
  </si>
  <si>
    <t xml:space="preserve">Проверить ассортимент</t>
  </si>
  <si>
    <t xml:space="preserve">Сопоставьте маржу, обязательства перед клиентом и затраты.</t>
  </si>
  <si>
    <t xml:space="preserve">CZ</t>
  </si>
  <si>
    <t xml:space="preserve">Проверить критичность</t>
  </si>
  <si>
    <t xml:space="preserve">Не исключайте товар только по ABC-XYZ: сначала критичность и экономика.</t>
  </si>
  <si>
    <t xml:space="preserve">Буквы матрицы — вопросы, а не команды</t>
  </si>
  <si>
    <t xml:space="preserve">Буква</t>
  </si>
  <si>
    <t xml:space="preserve">Правило шаблона</t>
  </si>
  <si>
    <t xml:space="preserve">Что сообщает</t>
  </si>
  <si>
    <t xml:space="preserve">Где обманывает</t>
  </si>
  <si>
    <t xml:space="preserve">A</t>
  </si>
  <si>
    <t xml:space="preserve">накопл. доля ≤ 80 %</t>
  </si>
  <si>
    <t xml:space="preserve">Большой вклад в выбранную базу. Проверить последствия дефицита.</t>
  </si>
  <si>
    <t xml:space="preserve">Выручка не показывает маржу и критичность. A не обязана быть 20 % SKU.</t>
  </si>
  <si>
    <t xml:space="preserve">C</t>
  </si>
  <si>
    <t xml:space="preserve">накопл. доля &gt; 95 %</t>
  </si>
  <si>
    <t xml:space="preserve">Малый вклад в базу. Проверить экономику и обязательства.</t>
  </si>
  <si>
    <t xml:space="preserve">Низкая выручка не означает низкую критичность: CZ нельзя выводить автоматически.</t>
  </si>
  <si>
    <t xml:space="preserve">X</t>
  </si>
  <si>
    <t xml:space="preserve">CV ≤ 0,25</t>
  </si>
  <si>
    <t xml:space="preserve">Низкий относительный разброс. Проверить изменение уровня спроса.</t>
  </si>
  <si>
    <t xml:space="preserve">Ровный ряд может расти или падать — CV этого не видит.</t>
  </si>
  <si>
    <t xml:space="preserve">Y</t>
  </si>
  <si>
    <t xml:space="preserve">0,25 &lt; CV ≤ 0,50</t>
  </si>
  <si>
    <t xml:space="preserve">Средний разброс. Проверить структуру спроса по истории.</t>
  </si>
  <si>
    <t xml:space="preserve">Средний CV не доказывает сезонность.</t>
  </si>
  <si>
    <t xml:space="preserve">Z</t>
  </si>
  <si>
    <t xml:space="preserve">CV &gt; 0,50</t>
  </si>
  <si>
    <t xml:space="preserve">Высокий разброс. Проверить сезонность, редкость, промо.</t>
  </si>
  <si>
    <t xml:space="preserve">Z не значит «непрогнозируемый»: сезонный товар с высоким CV прогнозируется хорошо.</t>
  </si>
  <si>
    <t xml:space="preserve">В конспекте пороги XYZ записаны долями (0,25 и 0,50), в шаблоне — теми же процентами (25 % и 50 %): столбец K показывает CV, умноженный на 100.</t>
  </si>
  <si>
    <t xml:space="preserve">Границы метода</t>
  </si>
  <si>
    <t xml:space="preserve">Y — не сезонность, Z — не хаос</t>
  </si>
  <si>
    <t xml:space="preserve">XYZ измеряет разброс, а не качество прогноза. Высокий CV бывает у хорошо прогнозируемого сезонного товара; сезонность устанавливается по истории.</t>
  </si>
  <si>
    <t xml:space="preserve">ABC по выручке — не маржа</t>
  </si>
  <si>
    <t xml:space="preserve">Выручка не показывает маржу, критичность и обязательства перед клиентом. CZ нельзя автоматически выводить из ассортимента.</t>
  </si>
  <si>
    <t xml:space="preserve">Пороги — политика, не норма</t>
  </si>
  <si>
    <t xml:space="preserve">80 / 95 % и 0,25 / 0,50 — правило шаблона. В итоговом проекте пороги настраиваются; правило для пограничного SKU фиксируйте заранее.</t>
  </si>
  <si>
    <t xml:space="preserve">Как читать результат</t>
  </si>
  <si>
    <t xml:space="preserve">Доля и накопленная доля</t>
  </si>
  <si>
    <t xml:space="preserve">Доля — вклад одной SKU в общую выручку. Накопленная доля — сумма долей всех SKU с выручкой не меньше текущей. Сортировка не нужна: СУММЕСЛИ делает её за вас, а равные выручки получают общую накопленную долю.</t>
  </si>
  <si>
    <t xml:space="preserve">CV в процентах</t>
  </si>
  <si>
    <t xml:space="preserve">В столбце K стоит σ / μ, умноженное на 100: 3,9 % — это 0,039. Пороги X и Y записаны в тех же процентах: 25 % и 50 %.</t>
  </si>
  <si>
    <t xml:space="preserve">n.a. в столбцах K, L, M</t>
  </si>
  <si>
    <t xml:space="preserve">Средний спрос равен нулю — деление невозможно. Это не X: у позиции просто нет продаж, и XYZ о ней ничего не говорит.</t>
  </si>
  <si>
    <t xml:space="preserve">Буквы — вопросы</t>
  </si>
  <si>
    <t xml:space="preserve">AX не значит «закупать больше», CZ не значит «вывести». Сначала критичность, экономика и причина разброса, и только затем правило заказа.</t>
  </si>
  <si>
    <t xml:space="preserve">Функции Excel, использованные в файле (русская нотация, аргументы через «;»)</t>
  </si>
  <si>
    <t xml:space="preserve">Функция</t>
  </si>
  <si>
    <t xml:space="preserve">Где</t>
  </si>
  <si>
    <t xml:space="preserve">Что делает</t>
  </si>
  <si>
    <t xml:space="preserve">Пример из файла</t>
  </si>
  <si>
    <t xml:space="preserve">ЕСЛИ / И / ИЛИ / НЕ</t>
  </si>
  <si>
    <t xml:space="preserve">Ввод данных Q:R; весь лист расчёта</t>
  </si>
  <si>
    <t xml:space="preserve">Строка считается, только когда есть код SKU, цена и все 12 месяцев; иначе ячейка остаётся пустой.</t>
  </si>
  <si>
    <t xml:space="preserve">=ЕСЛИ(И($B5&lt;&gt;"";ЕЧИСЛО($D5);СЧЁТ($E5:$P5)=12);1;"")</t>
  </si>
  <si>
    <t xml:space="preserve">ЕЧИСЛО / ЕСЛИОШИБКА</t>
  </si>
  <si>
    <t xml:space="preserve">Расчёт ABC-XYZ, L и N</t>
  </si>
  <si>
    <t xml:space="preserve">Отличает число от текста «n.a.» и не даёт появиться ошибке #Н/Д.</t>
  </si>
  <si>
    <t xml:space="preserve">=ЕСЛИОШИБКА(ВПР($M5;Справочник!$B$6:$D$14;2;ЛОЖЬ);"")</t>
  </si>
  <si>
    <t xml:space="preserve">СУММ / СЧЁТ / СЧЁТЗ</t>
  </si>
  <si>
    <t xml:space="preserve">Расчёт ABC-XYZ, C и E35</t>
  </si>
  <si>
    <t xml:space="preserve">Годовой объём по строке и общая выручка по всем строкам в расчёте.</t>
  </si>
  <si>
    <t xml:space="preserve">=СУММ('Ввод данных'!$E5:$P5)</t>
  </si>
  <si>
    <t xml:space="preserve">СУММЕСЛИ</t>
  </si>
  <si>
    <t xml:space="preserve">Расчёт ABC-XYZ, G</t>
  </si>
  <si>
    <t xml:space="preserve">Накопленная доля без сортировки: складывает выручку всех SKU не меньше текущей.</t>
  </si>
  <si>
    <t xml:space="preserve">=СУММЕСЛИ($E$5:$E$34;"&gt;="&amp;$E5)/$E$35*100</t>
  </si>
  <si>
    <t xml:space="preserve">СЧЁТЕСЛИ / СЧЁТЕСЛИМН</t>
  </si>
  <si>
    <t xml:space="preserve">Матрица, клетки 3×3</t>
  </si>
  <si>
    <t xml:space="preserve">Считает SKU в группе и в клетке матрицы.</t>
  </si>
  <si>
    <t xml:space="preserve">=СЧЁТЕСЛИМН($H$5:$H$34;"A";$L$5:$L$34;"X")</t>
  </si>
  <si>
    <t xml:space="preserve">СУММЕСЛИМН</t>
  </si>
  <si>
    <t xml:space="preserve">Матрица, доля выручки в клетке</t>
  </si>
  <si>
    <t xml:space="preserve">Складывает доли выручки тех SKU, что попали в клетку.</t>
  </si>
  <si>
    <t xml:space="preserve">=СУММЕСЛИМН($F$5:$F$34;$H$5:$H$34;"A";$L$5:$L$34;"X")</t>
  </si>
  <si>
    <t xml:space="preserve">СТАНДОТКЛОНП</t>
  </si>
  <si>
    <t xml:space="preserve">Расчёт ABC-XYZ, J</t>
  </si>
  <si>
    <t xml:space="preserve">Стандартное отклонение по генеральной совокупности — по всем 12 месяцам выбранного периода.</t>
  </si>
  <si>
    <t xml:space="preserve">=СТАНДОТКЛОНП('Ввод данных'!$E5:$P5)</t>
  </si>
  <si>
    <t xml:space="preserve">СРЗНАЧ</t>
  </si>
  <si>
    <t xml:space="preserve">Практика, задачи 1 и 3</t>
  </si>
  <si>
    <t xml:space="preserve">Средний спрос μ по ряду месяцев.</t>
  </si>
  <si>
    <t xml:space="preserve">=СРЗНАЧ($C$14:$E$14)</t>
  </si>
  <si>
    <t xml:space="preserve">РАНГ</t>
  </si>
  <si>
    <t xml:space="preserve">Расчёт ABC-XYZ, O</t>
  </si>
  <si>
    <t xml:space="preserve">Ранг по выручке; СЧЁТЕСЛИ разводит одинаковые выручки, чтобы ранги не повторялись.</t>
  </si>
  <si>
    <t xml:space="preserve">=РАНГ($E5;$E$5:$E$34)+СЧЁТЕСЛИ($E$5:$E5;$E5)-1</t>
  </si>
  <si>
    <t xml:space="preserve">ИНДЕКС / ПОИСКПОЗ</t>
  </si>
  <si>
    <t xml:space="preserve">Графики C:H; Матрица</t>
  </si>
  <si>
    <t xml:space="preserve">Строит список по убыванию выручки без сортировки данных и находит SKU по значению.</t>
  </si>
  <si>
    <t xml:space="preserve">=ИНДЕКС($A$5:$A$34;ПОИСКПОЗ($B6;$O$5:$O$34;0))</t>
  </si>
  <si>
    <t xml:space="preserve">ВПР</t>
  </si>
  <si>
    <t xml:space="preserve">Расчёт ABC-XYZ, N</t>
  </si>
  <si>
    <t xml:space="preserve">Подставляет рекомендацию по сегменту из таблицы этого листа.</t>
  </si>
  <si>
    <t xml:space="preserve">=ВПР($M5;Справочник!$B$6:$D$14;2;ЛОЖЬ)</t>
  </si>
  <si>
    <t xml:space="preserve">МАКС / МИН / НАИБОЛЬШИЙ</t>
  </si>
  <si>
    <t xml:space="preserve">Матрица, карточки и диагностика</t>
  </si>
  <si>
    <t xml:space="preserve">Крайние значения доли и CV и вторая по величине доля.</t>
  </si>
  <si>
    <t xml:space="preserve">=НАИБОЛЬШИЙ($F$5:$F$34;2)</t>
  </si>
  <si>
    <t xml:space="preserve">СУММПРОИЗВ</t>
  </si>
  <si>
    <t xml:space="preserve">Матрица, диагностика</t>
  </si>
  <si>
    <t xml:space="preserve">Считает строки с выручкой без вспомогательного столбца.</t>
  </si>
  <si>
    <t xml:space="preserve">=СУММПРОИЗВ(($E$5:$E$34&lt;&gt;"")*1)</t>
  </si>
  <si>
    <t xml:space="preserve">ОКРУГЛ</t>
  </si>
  <si>
    <t xml:space="preserve">Расчёт ABC-XYZ Q; Матрица; Практика</t>
  </si>
  <si>
    <t xml:space="preserve">Округляет число внутри текстового пояснения расчёта.</t>
  </si>
  <si>
    <t xml:space="preserve">=ОКРУГЛ($K5;3)</t>
  </si>
  <si>
    <t xml:space="preserve">Самопроверка</t>
  </si>
  <si>
    <t xml:space="preserve">Вопрос. Может ли сезонный товар попасть в Z и при этом хорошо прогнозироваться?</t>
  </si>
  <si>
    <t xml:space="preserve">Ответ. Да. XYZ измеряет разброс месячных продаж вокруг среднего, а не качество прогноза на будущих данных. Сезонный ряд с высоким CV прогнозируется хорошо, если сезонность устойчива.</t>
  </si>
  <si>
    <t xml:space="preserve">Практика: три задачи конспекта 1.2 (стр. 3)</t>
  </si>
  <si>
    <t xml:space="preserve">Заполните жёлтые ячейки — проверка справа сравнит ответ с расчётом по условию (допуск 0,05 для процентов). Полное решение — на стр. 3 конспекта.</t>
  </si>
  <si>
    <t xml:space="preserve">Задача 1. ABC и CV вручную</t>
  </si>
  <si>
    <t xml:space="preserve">Три SKU с выручкой за год (серые ячейки — условие). Посчитайте долю, накопленную долю и группу ABC по порогам 80 / 95 %. Затем коэффициент вариации для спроса 90, 100, 110 шт за три месяца: σ — по генеральной совокупности (СТАНДОТКЛОНП).</t>
  </si>
  <si>
    <t xml:space="preserve">Выручка, тыс ₽</t>
  </si>
  <si>
    <t xml:space="preserve">Накопл., %</t>
  </si>
  <si>
    <t xml:space="preserve">Проверка доли и накопленной</t>
  </si>
  <si>
    <t xml:space="preserve">Проверка ABC</t>
  </si>
  <si>
    <t xml:space="preserve">SKU-P1</t>
  </si>
  <si>
    <t xml:space="preserve">SKU-P2</t>
  </si>
  <si>
    <t xml:space="preserve">SKU-P3</t>
  </si>
  <si>
    <t xml:space="preserve">Σ</t>
  </si>
  <si>
    <t xml:space="preserve">Спрос по месяцам, шт</t>
  </si>
  <si>
    <t xml:space="preserve">Месяц 1</t>
  </si>
  <si>
    <t xml:space="preserve">Месяц 2</t>
  </si>
  <si>
    <t xml:space="preserve">Месяц 3</t>
  </si>
  <si>
    <t xml:space="preserve">условие задачи</t>
  </si>
  <si>
    <t xml:space="preserve">μ — средний спрос</t>
  </si>
  <si>
    <t xml:space="preserve">=</t>
  </si>
  <si>
    <t xml:space="preserve">шт</t>
  </si>
  <si>
    <t xml:space="preserve">σ — СТАНДОТКЛОНП</t>
  </si>
  <si>
    <t xml:space="preserve">CV = σ / μ</t>
  </si>
  <si>
    <t xml:space="preserve">Группа XYZ</t>
  </si>
  <si>
    <t xml:space="preserve">Подсказка: доли считаются от суммы выручки всех трёх SKU, а не от максимальной. CV здесь в процентах: 8,16 % — это 0,0816.</t>
  </si>
  <si>
    <t xml:space="preserve">Задача 2. Решение по сегменту</t>
  </si>
  <si>
    <t xml:space="preserve">Что проверить</t>
  </si>
  <si>
    <t xml:space="preserve">Ваш ответ (свободный текст)</t>
  </si>
  <si>
    <t xml:space="preserve">Ответ конспекта</t>
  </si>
  <si>
    <t xml:space="preserve">Проверить 1</t>
  </si>
  <si>
    <t xml:space="preserve">Критичность: нужна ли позиция для сборки, комплекта или обязательств перед клиентом.</t>
  </si>
  <si>
    <t xml:space="preserve">Проверить 2</t>
  </si>
  <si>
    <t xml:space="preserve">Экономика: маржа, затраты на хранение, минимальная партия поставщика.</t>
  </si>
  <si>
    <t xml:space="preserve">Проверить 3</t>
  </si>
  <si>
    <t xml:space="preserve">Причина разброса: сезонность, промо, редкие крупные заказы — устанавливается по истории.</t>
  </si>
  <si>
    <t xml:space="preserve">Можно ли вывести CZ только по буквам?</t>
  </si>
  <si>
    <t xml:space="preserve">Задача 3. Особые случаи</t>
  </si>
  <si>
    <t xml:space="preserve">Равная выручка на границе, постоянный спрос и полностью нулевой спрос: три случая, где шаблон ведёт себя не так, как подсказывает интуиция.</t>
  </si>
  <si>
    <t xml:space="preserve">E1</t>
  </si>
  <si>
    <t xml:space="preserve">E2</t>
  </si>
  <si>
    <t xml:space="preserve">E3</t>
  </si>
  <si>
    <t xml:space="preserve">Доля и накопленная доля здесь посчитаны формулами шаблона — сравните их с буквами, которые выбрали.</t>
  </si>
  <si>
    <t xml:space="preserve">Ряд спроса</t>
  </si>
  <si>
    <t xml:space="preserve">Условие (12 месяцев)</t>
  </si>
  <si>
    <t xml:space="preserve">Ваш ответ</t>
  </si>
  <si>
    <t xml:space="preserve">Проверка</t>
  </si>
  <si>
    <t xml:space="preserve">Служебные ряды условия</t>
  </si>
  <si>
    <t xml:space="preserve">М1</t>
  </si>
  <si>
    <t xml:space="preserve">М2</t>
  </si>
  <si>
    <t xml:space="preserve">М3</t>
  </si>
  <si>
    <t xml:space="preserve">М4</t>
  </si>
  <si>
    <t xml:space="preserve">М5</t>
  </si>
  <si>
    <t xml:space="preserve">М6</t>
  </si>
  <si>
    <t xml:space="preserve">М7</t>
  </si>
  <si>
    <t xml:space="preserve">М8</t>
  </si>
  <si>
    <t xml:space="preserve">М9</t>
  </si>
  <si>
    <t xml:space="preserve">М10</t>
  </si>
  <si>
    <t xml:space="preserve">М11</t>
  </si>
  <si>
    <t xml:space="preserve">М12</t>
  </si>
  <si>
    <t xml:space="preserve">Постоянный</t>
  </si>
  <si>
    <t xml:space="preserve">спрос по 100 шт каждый месяц — чему равен CV, %</t>
  </si>
  <si>
    <t xml:space="preserve">постоянный спрос</t>
  </si>
  <si>
    <t xml:space="preserve">Нулевой</t>
  </si>
  <si>
    <t xml:space="preserve">спрос по 0 шт каждый месяц — что покажет столбец K шаблона</t>
  </si>
  <si>
    <t xml:space="preserve">нулевой спрос</t>
  </si>
  <si>
    <t xml:space="preserve">Ответы. Равная выручка на границе получает общую накопленную долю: обе позиции по 25 тыс ₽ дают 100 % и попадают в C — шаблон не делит их на B и C. Постоянный спрос: σ = 0, CV = 0 % → X. Нулевой спрос: среднее равно нулю, деление невозможно — столбец K показывает n.a., и это не X.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</si>
</sst>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.0&quot; %&quot;"/>
    <numFmt numFmtId="167" formatCode="0.0000"/>
    <numFmt numFmtId="168" formatCode="0.0"/>
    <numFmt numFmtId="169" formatCode="0&quot; SKU&quot;"/>
    <numFmt numFmtId="170" formatCode="0"/>
    <numFmt numFmtId="171" formatCode="0.00"/>
    <numFmt numFmtId="172" formatCode="0.00&quot; %&quot;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03548"/>
      <name val="Arial"/>
      <family val="0"/>
      <charset val="1"/>
    </font>
    <font>
      <sz val="10"/>
      <color rgb="FF7A8794"/>
      <name val="Arial"/>
      <family val="0"/>
      <charset val="1"/>
    </font>
    <font>
      <b val="true"/>
      <sz val="12"/>
      <color rgb="FF203548"/>
      <name val="Arial"/>
      <family val="0"/>
      <charset val="1"/>
    </font>
    <font>
      <sz val="10"/>
      <color rgb="FF1E2A3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u val="single"/>
      <sz val="10"/>
      <color rgb="FF3562B0"/>
      <name val="Arial"/>
      <family val="0"/>
      <charset val="1"/>
    </font>
    <font>
      <sz val="9"/>
      <color rgb="FF7A87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7A8794"/>
      <name val="Arial"/>
      <family val="0"/>
      <charset val="1"/>
    </font>
    <font>
      <b val="true"/>
      <sz val="10"/>
      <color rgb="FF1E2A38"/>
      <name val="Arial"/>
      <family val="0"/>
      <charset val="1"/>
    </font>
    <font>
      <b val="true"/>
      <sz val="9"/>
      <color rgb="FF7A8794"/>
      <name val="Arial"/>
      <family val="0"/>
      <charset val="1"/>
    </font>
    <font>
      <b val="true"/>
      <sz val="10"/>
      <color rgb="FF203548"/>
      <name val="Arial"/>
      <family val="0"/>
      <charset val="1"/>
    </font>
    <font>
      <b val="true"/>
      <sz val="11"/>
      <color rgb="FF1E2A38"/>
      <name val="Arial"/>
      <family val="0"/>
      <charset val="1"/>
    </font>
    <font>
      <b val="true"/>
      <sz val="10"/>
      <color rgb="FF0A9AA0"/>
      <name val="Arial"/>
      <family val="0"/>
      <charset val="1"/>
    </font>
    <font>
      <b val="true"/>
      <sz val="10"/>
      <color rgb="FF7A8794"/>
      <name val="Arial"/>
      <family val="0"/>
      <charset val="1"/>
    </font>
    <font>
      <b val="true"/>
      <sz val="10"/>
      <color rgb="FFC8553D"/>
      <name val="Arial"/>
      <family val="0"/>
      <charset val="1"/>
    </font>
    <font>
      <b val="true"/>
      <sz val="20"/>
      <color rgb="FF203548"/>
      <name val="Arial"/>
      <family val="0"/>
      <charset val="1"/>
    </font>
    <font>
      <b val="true"/>
      <sz val="11"/>
      <color rgb="FF0A9AA0"/>
      <name val="Arial"/>
      <family val="0"/>
      <charset val="1"/>
    </font>
    <font>
      <b val="true"/>
      <sz val="11"/>
      <color rgb="FF203548"/>
      <name val="Arial"/>
      <family val="0"/>
      <charset val="1"/>
    </font>
    <font>
      <b val="true"/>
      <sz val="11"/>
      <color rgb="FFCC7A10"/>
      <name val="Arial"/>
      <family val="0"/>
      <charset val="1"/>
    </font>
    <font>
      <b val="true"/>
      <sz val="11"/>
      <color rgb="FFC8553D"/>
      <name val="Arial"/>
      <family val="0"/>
      <charset val="1"/>
    </font>
    <font>
      <b val="true"/>
      <sz val="11"/>
      <color rgb="FF203548"/>
      <name val="Arial"/>
      <family val="2"/>
    </font>
    <font>
      <sz val="9"/>
      <color rgb="FF7A8794"/>
      <name val="Arial"/>
      <family val="2"/>
    </font>
    <font>
      <b val="true"/>
      <sz val="10"/>
      <color rgb="FF000000"/>
      <name val="Calibri"/>
      <family val="2"/>
    </font>
    <font>
      <sz val="9"/>
      <color rgb="FF1E2A3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03548"/>
        <bgColor rgb="FF1E2A38"/>
      </patternFill>
    </fill>
    <fill>
      <patternFill patternType="solid">
        <fgColor rgb="FFFFF2D4"/>
        <bgColor rgb="FFF9E3DE"/>
      </patternFill>
    </fill>
    <fill>
      <patternFill patternType="solid">
        <fgColor rgb="FFFFFFFF"/>
        <bgColor rgb="FFF3F6FA"/>
      </patternFill>
    </fill>
    <fill>
      <patternFill patternType="solid">
        <fgColor rgb="FFF3F6FA"/>
        <bgColor rgb="FFFFFFFF"/>
      </patternFill>
    </fill>
    <fill>
      <patternFill patternType="solid">
        <fgColor rgb="FFCC7A10"/>
        <bgColor rgb="FFC8553D"/>
      </patternFill>
    </fill>
    <fill>
      <patternFill patternType="solid">
        <fgColor rgb="FFDCEFF0"/>
        <bgColor rgb="FFE3E8EE"/>
      </patternFill>
    </fill>
    <fill>
      <patternFill patternType="solid">
        <fgColor rgb="FFF9E3DE"/>
        <bgColor rgb="FFFFF2D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7A10"/>
      </left>
      <right style="thin">
        <color rgb="FFCC7A10"/>
      </right>
      <top style="thin">
        <color rgb="FFCC7A10"/>
      </top>
      <bottom style="thin">
        <color rgb="FFCC7A10"/>
      </bottom>
      <diagonal/>
    </border>
    <border diagonalUp="false" diagonalDown="false">
      <left style="thin">
        <color rgb="FFE3E8EE"/>
      </left>
      <right style="thin">
        <color rgb="FFE3E8EE"/>
      </right>
      <top style="thin">
        <color rgb="FFE3E8EE"/>
      </top>
      <bottom style="thin">
        <color rgb="FFE3E8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0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1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color rgb="FF0A9AA0"/>
        <sz val="10"/>
      </font>
    </dxf>
    <dxf>
      <font>
        <name val="Arial"/>
        <charset val="1"/>
        <family val="0"/>
        <b val="1"/>
        <color rgb="FFC8553D"/>
        <sz val="10"/>
      </font>
      <fill>
        <patternFill>
          <bgColor rgb="FFF9E3DE"/>
        </patternFill>
      </fill>
    </dxf>
    <dxf>
      <font>
        <name val="Arial"/>
        <charset val="1"/>
        <family val="0"/>
        <b val="1"/>
        <color rgb="FFCC7A10"/>
        <sz val="10"/>
      </font>
    </dxf>
    <dxf>
      <font>
        <name val="Arial"/>
        <charset val="1"/>
        <family val="0"/>
        <b val="1"/>
        <color rgb="FF0A9AA0"/>
        <sz val="10"/>
      </font>
      <fill>
        <patternFill>
          <bgColor rgb="FFDCEFF0"/>
        </patternFill>
      </fill>
    </dxf>
    <dxf>
      <font>
        <name val="Arial"/>
        <charset val="1"/>
        <family val="0"/>
        <b val="1"/>
        <color rgb="FF0A9AA0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A9AA0"/>
      <rgbColor rgb="FFC0C0C0"/>
      <rgbColor rgb="FF878787"/>
      <rgbColor rgb="FF9999FF"/>
      <rgbColor rgb="FFC8553D"/>
      <rgbColor rgb="FFFFF2D4"/>
      <rgbColor rgb="FFDCEFF0"/>
      <rgbColor rgb="FF660066"/>
      <rgbColor rgb="FFFF8080"/>
      <rgbColor rgb="FF0066CC"/>
      <rgbColor rgb="FFC9D2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E"/>
      <rgbColor rgb="FFF3F6FA"/>
      <rgbColor rgb="FFFFFF99"/>
      <rgbColor rgb="FF99CCFF"/>
      <rgbColor rgb="FFFF99CC"/>
      <rgbColor rgb="FFCC99FF"/>
      <rgbColor rgb="FFF9E3DE"/>
      <rgbColor rgb="FF3562B0"/>
      <rgbColor rgb="FF33CCCC"/>
      <rgbColor rgb="FF99CC00"/>
      <rgbColor rgb="FFFFCC00"/>
      <rgbColor rgb="FFFF9900"/>
      <rgbColor rgb="FFCC7A10"/>
      <rgbColor rgb="FF666699"/>
      <rgbColor rgb="FF7A8794"/>
      <rgbColor rgb="FF003366"/>
      <rgbColor rgb="FF339966"/>
      <rgbColor rgb="FF003300"/>
      <rgbColor rgb="FF1E2A38"/>
      <rgbColor rgb="FF993300"/>
      <rgbColor rgb="FF993366"/>
      <rgbColor rgb="FF333399"/>
      <rgbColor rgb="FF2035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solidFill>
                  <a:srgbClr val="203548"/>
                </a:solidFill>
                <a:latin typeface="Arial"/>
              </a:defRPr>
            </a:pPr>
            <a:r>
              <a:rPr b="1" sz="1100" spc="-1" strike="noStrike">
                <a:solidFill>
                  <a:srgbClr val="203548"/>
                </a:solidFill>
                <a:latin typeface="Arial"/>
              </a:rPr>
              <a:t>Парето: доля SKU в выручке и накопленная доля, %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Графики!D5</c:f>
              <c:strCache>
                <c:ptCount val="1"/>
                <c:pt idx="0">
                  <c:v>Доля, %</c:v>
                </c:pt>
              </c:strCache>
            </c:strRef>
          </c:tx>
          <c:spPr>
            <a:solidFill>
              <a:srgbClr val="0a9aa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Графики!$C$6:$C$10</c:f>
              <c:strCache>
                <c:ptCount val="5"/>
                <c:pt idx="0">
                  <c:v>SKU-001</c:v>
                </c:pt>
                <c:pt idx="1">
                  <c:v>SKU-002</c:v>
                </c:pt>
                <c:pt idx="2">
                  <c:v>SKU-003</c:v>
                </c:pt>
                <c:pt idx="3">
                  <c:v>SKU-004</c:v>
                </c:pt>
                <c:pt idx="4">
                  <c:v>SKU-005</c:v>
                </c:pt>
              </c:strCache>
            </c:strRef>
          </c:cat>
          <c:val>
            <c:numRef>
              <c:f>Графики!$D$6:$D$10</c:f>
              <c:numCache>
                <c:formatCode>0.0" %"</c:formatCode>
                <c:ptCount val="5"/>
                <c:pt idx="0">
                  <c:v>69.6099335256491</c:v>
                </c:pt>
                <c:pt idx="1">
                  <c:v>21.8236548350684</c:v>
                </c:pt>
                <c:pt idx="2">
                  <c:v>5.92625109745391</c:v>
                </c:pt>
                <c:pt idx="3">
                  <c:v>2.53982189890882</c:v>
                </c:pt>
                <c:pt idx="4">
                  <c:v>0.100338642919855</c:v>
                </c:pt>
              </c:numCache>
            </c:numRef>
          </c:val>
        </c:ser>
        <c:gapWidth val="55"/>
        <c:overlap val="0"/>
        <c:axId val="87079342"/>
        <c:axId val="54854956"/>
      </c:barChart>
      <c:lineChart>
        <c:grouping val="standard"/>
        <c:varyColors val="0"/>
        <c:ser>
          <c:idx val="1"/>
          <c:order val="1"/>
          <c:tx>
            <c:strRef>
              <c:f>Графики!E5</c:f>
              <c:strCache>
                <c:ptCount val="1"/>
                <c:pt idx="0">
                  <c:v>Накопл. доля, %</c:v>
                </c:pt>
              </c:strCache>
            </c:strRef>
          </c:tx>
          <c:spPr>
            <a:solidFill>
              <a:srgbClr val="203548"/>
            </a:solidFill>
            <a:ln w="28440">
              <a:solidFill>
                <a:srgbClr val="203548"/>
              </a:solidFill>
              <a:round/>
            </a:ln>
          </c:spPr>
          <c:marker>
            <c:symbol val="circle"/>
            <c:size val="6"/>
            <c:spPr>
              <a:solidFill>
                <a:srgbClr val="20354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Графики!$C$6:$C$10</c:f>
              <c:strCache>
                <c:ptCount val="5"/>
                <c:pt idx="0">
                  <c:v>SKU-001</c:v>
                </c:pt>
                <c:pt idx="1">
                  <c:v>SKU-002</c:v>
                </c:pt>
                <c:pt idx="2">
                  <c:v>SKU-003</c:v>
                </c:pt>
                <c:pt idx="3">
                  <c:v>SKU-004</c:v>
                </c:pt>
                <c:pt idx="4">
                  <c:v>SKU-005</c:v>
                </c:pt>
              </c:strCache>
            </c:strRef>
          </c:cat>
          <c:val>
            <c:numRef>
              <c:f>Графики!$E$6:$E$10</c:f>
              <c:numCache>
                <c:formatCode>0.0" %"</c:formatCode>
                <c:ptCount val="5"/>
                <c:pt idx="0">
                  <c:v>69.6099335256491</c:v>
                </c:pt>
                <c:pt idx="1">
                  <c:v>91.4335883607174</c:v>
                </c:pt>
                <c:pt idx="2">
                  <c:v>97.3598394581713</c:v>
                </c:pt>
                <c:pt idx="3">
                  <c:v>99.8996613570802</c:v>
                </c:pt>
                <c:pt idx="4">
                  <c:v>100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Графики!F5</c:f>
              <c:strCache>
                <c:ptCount val="1"/>
                <c:pt idx="0">
                  <c:v>Порог A</c:v>
                </c:pt>
              </c:strCache>
            </c:strRef>
          </c:tx>
          <c:spPr>
            <a:solidFill>
              <a:srgbClr val="0a9aa0"/>
            </a:solidFill>
            <a:ln w="28440">
              <a:solidFill>
                <a:srgbClr val="0a9aa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Графики!$C$6:$C$10</c:f>
              <c:strCache>
                <c:ptCount val="5"/>
                <c:pt idx="0">
                  <c:v>SKU-001</c:v>
                </c:pt>
                <c:pt idx="1">
                  <c:v>SKU-002</c:v>
                </c:pt>
                <c:pt idx="2">
                  <c:v>SKU-003</c:v>
                </c:pt>
                <c:pt idx="3">
                  <c:v>SKU-004</c:v>
                </c:pt>
                <c:pt idx="4">
                  <c:v>SKU-005</c:v>
                </c:pt>
              </c:strCache>
            </c:strRef>
          </c:cat>
          <c:val>
            <c:numRef>
              <c:f>Графики!$F$6:$F$10</c:f>
              <c:numCache>
                <c:formatCode>0.0" %"</c:formatCode>
                <c:ptCount val="5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Графики!G5</c:f>
              <c:strCache>
                <c:ptCount val="1"/>
                <c:pt idx="0">
                  <c:v>Порог B</c:v>
                </c:pt>
              </c:strCache>
            </c:strRef>
          </c:tx>
          <c:spPr>
            <a:solidFill>
              <a:srgbClr val="cc7a10"/>
            </a:solidFill>
            <a:ln w="28440">
              <a:solidFill>
                <a:srgbClr val="cc7a1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Графики!$C$6:$C$10</c:f>
              <c:strCache>
                <c:ptCount val="5"/>
                <c:pt idx="0">
                  <c:v>SKU-001</c:v>
                </c:pt>
                <c:pt idx="1">
                  <c:v>SKU-002</c:v>
                </c:pt>
                <c:pt idx="2">
                  <c:v>SKU-003</c:v>
                </c:pt>
                <c:pt idx="3">
                  <c:v>SKU-004</c:v>
                </c:pt>
                <c:pt idx="4">
                  <c:v>SKU-005</c:v>
                </c:pt>
              </c:strCache>
            </c:strRef>
          </c:cat>
          <c:val>
            <c:numRef>
              <c:f>Графики!$G$6:$G$10</c:f>
              <c:numCache>
                <c:formatCode>0.0" %"</c:formatCode>
                <c:ptCount val="5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7079342"/>
        <c:axId val="54854956"/>
      </c:lineChart>
      <c:catAx>
        <c:axId val="8707934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SKU по убыванию выручки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low"/>
        <c:spPr>
          <a:ln w="9360">
            <a:solidFill>
              <a:srgbClr val="c9d2dc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7a8794"/>
                </a:solidFill>
                <a:latin typeface="Arial"/>
              </a:defRPr>
            </a:pPr>
          </a:p>
        </c:txPr>
        <c:crossAx val="54854956"/>
        <c:crosses val="autoZero"/>
        <c:auto val="1"/>
        <c:lblAlgn val="ctr"/>
        <c:lblOffset val="100"/>
        <c:noMultiLvlLbl val="0"/>
      </c:catAx>
      <c:valAx>
        <c:axId val="54854956"/>
        <c:scaling>
          <c:orientation val="minMax"/>
        </c:scaling>
        <c:delete val="0"/>
        <c:axPos val="l"/>
        <c:majorGridlines>
          <c:spPr>
            <a:ln w="9360">
              <a:solidFill>
                <a:srgbClr val="e3e8ee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проценты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c9d2dc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7a8794"/>
                </a:solidFill>
                <a:latin typeface="Arial"/>
              </a:defRPr>
            </a:pPr>
          </a:p>
        </c:txPr>
        <c:crossAx val="8707934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1e2a38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solidFill>
                  <a:srgbClr val="203548"/>
                </a:solidFill>
                <a:latin typeface="Arial"/>
              </a:defRPr>
            </a:pPr>
            <a:r>
              <a:rPr b="1" sz="1100" spc="-1" strike="noStrike">
                <a:solidFill>
                  <a:srgbClr val="203548"/>
                </a:solidFill>
                <a:latin typeface="Arial"/>
              </a:rPr>
              <a:t>Коэффициент вариации по SKU, % (пороги X и Y)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Графики!H5</c:f>
              <c:strCache>
                <c:ptCount val="1"/>
                <c:pt idx="0">
                  <c:v>CV, %</c:v>
                </c:pt>
              </c:strCache>
            </c:strRef>
          </c:tx>
          <c:spPr>
            <a:solidFill>
              <a:srgbClr val="3562b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Графики!$C$6:$C$10</c:f>
              <c:strCache>
                <c:ptCount val="5"/>
                <c:pt idx="0">
                  <c:v>SKU-001</c:v>
                </c:pt>
                <c:pt idx="1">
                  <c:v>SKU-002</c:v>
                </c:pt>
                <c:pt idx="2">
                  <c:v>SKU-003</c:v>
                </c:pt>
                <c:pt idx="3">
                  <c:v>SKU-004</c:v>
                </c:pt>
                <c:pt idx="4">
                  <c:v>SKU-005</c:v>
                </c:pt>
              </c:strCache>
            </c:strRef>
          </c:cat>
          <c:val>
            <c:numRef>
              <c:f>Графики!$H$6:$H$10</c:f>
              <c:numCache>
                <c:formatCode>0.0" %"</c:formatCode>
                <c:ptCount val="5"/>
                <c:pt idx="0">
                  <c:v>3.94909167464931</c:v>
                </c:pt>
                <c:pt idx="1">
                  <c:v>27.224642028338</c:v>
                </c:pt>
                <c:pt idx="2">
                  <c:v>6.28272068097244</c:v>
                </c:pt>
                <c:pt idx="3">
                  <c:v>72.4753399241379</c:v>
                </c:pt>
                <c:pt idx="4">
                  <c:v>77.0551750371122</c:v>
                </c:pt>
              </c:numCache>
            </c:numRef>
          </c:val>
        </c:ser>
        <c:gapWidth val="55"/>
        <c:overlap val="0"/>
        <c:axId val="32134389"/>
        <c:axId val="23363054"/>
      </c:barChart>
      <c:lineChart>
        <c:grouping val="standard"/>
        <c:varyColors val="0"/>
        <c:ser>
          <c:idx val="1"/>
          <c:order val="1"/>
          <c:tx>
            <c:strRef>
              <c:f>Графики!I5</c:f>
              <c:strCache>
                <c:ptCount val="1"/>
                <c:pt idx="0">
                  <c:v>Порог X</c:v>
                </c:pt>
              </c:strCache>
            </c:strRef>
          </c:tx>
          <c:spPr>
            <a:solidFill>
              <a:srgbClr val="0a9aa0"/>
            </a:solidFill>
            <a:ln w="28440">
              <a:solidFill>
                <a:srgbClr val="0a9aa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Графики!$C$6:$C$10</c:f>
              <c:strCache>
                <c:ptCount val="5"/>
                <c:pt idx="0">
                  <c:v>SKU-001</c:v>
                </c:pt>
                <c:pt idx="1">
                  <c:v>SKU-002</c:v>
                </c:pt>
                <c:pt idx="2">
                  <c:v>SKU-003</c:v>
                </c:pt>
                <c:pt idx="3">
                  <c:v>SKU-004</c:v>
                </c:pt>
                <c:pt idx="4">
                  <c:v>SKU-005</c:v>
                </c:pt>
              </c:strCache>
            </c:strRef>
          </c:cat>
          <c:val>
            <c:numRef>
              <c:f>Графики!$I$6:$I$10</c:f>
              <c:numCache>
                <c:formatCode>0.0" %"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Графики!J5</c:f>
              <c:strCache>
                <c:ptCount val="1"/>
                <c:pt idx="0">
                  <c:v>Порог Y</c:v>
                </c:pt>
              </c:strCache>
            </c:strRef>
          </c:tx>
          <c:spPr>
            <a:solidFill>
              <a:srgbClr val="c8553d"/>
            </a:solidFill>
            <a:ln w="28440">
              <a:solidFill>
                <a:srgbClr val="c8553d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Графики!$C$6:$C$10</c:f>
              <c:strCache>
                <c:ptCount val="5"/>
                <c:pt idx="0">
                  <c:v>SKU-001</c:v>
                </c:pt>
                <c:pt idx="1">
                  <c:v>SKU-002</c:v>
                </c:pt>
                <c:pt idx="2">
                  <c:v>SKU-003</c:v>
                </c:pt>
                <c:pt idx="3">
                  <c:v>SKU-004</c:v>
                </c:pt>
                <c:pt idx="4">
                  <c:v>SKU-005</c:v>
                </c:pt>
              </c:strCache>
            </c:strRef>
          </c:cat>
          <c:val>
            <c:numRef>
              <c:f>Графики!$J$6:$J$10</c:f>
              <c:numCache>
                <c:formatCode>0.0" %"</c:formatCod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2134389"/>
        <c:axId val="23363054"/>
      </c:lineChart>
      <c:catAx>
        <c:axId val="3213438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SKU по убыванию выручки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low"/>
        <c:spPr>
          <a:ln w="9360">
            <a:solidFill>
              <a:srgbClr val="c9d2dc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7a8794"/>
                </a:solidFill>
                <a:latin typeface="Arial"/>
              </a:defRPr>
            </a:pPr>
          </a:p>
        </c:txPr>
        <c:crossAx val="23363054"/>
        <c:crosses val="autoZero"/>
        <c:auto val="1"/>
        <c:lblAlgn val="ctr"/>
        <c:lblOffset val="100"/>
        <c:noMultiLvlLbl val="0"/>
      </c:catAx>
      <c:valAx>
        <c:axId val="23363054"/>
        <c:scaling>
          <c:orientation val="minMax"/>
        </c:scaling>
        <c:delete val="0"/>
        <c:axPos val="l"/>
        <c:majorGridlines>
          <c:spPr>
            <a:ln w="9360">
              <a:solidFill>
                <a:srgbClr val="e3e8ee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проценты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c9d2dc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7a8794"/>
                </a:solidFill>
                <a:latin typeface="Arial"/>
              </a:defRPr>
            </a:pPr>
          </a:p>
        </c:txPr>
        <c:crossAx val="3213438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1e2a38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00" spc="-1" strike="noStrike">
                <a:solidFill>
                  <a:srgbClr val="203548"/>
                </a:solidFill>
                <a:latin typeface="Arial"/>
              </a:defRPr>
            </a:pPr>
            <a:r>
              <a:rPr b="1" sz="1100" spc="-1" strike="noStrike">
                <a:solidFill>
                  <a:srgbClr val="203548"/>
                </a:solidFill>
                <a:latin typeface="Arial"/>
              </a:rPr>
              <a:t>Доля в выручке и коэффициент вариации: где на поле стоит каждая SKU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Графики!H5</c:f>
              <c:strCache>
                <c:ptCount val="1"/>
                <c:pt idx="0">
                  <c:v>CV, %</c:v>
                </c:pt>
              </c:strCache>
            </c:strRef>
          </c:tx>
          <c:spPr>
            <a:solidFill>
              <a:srgbClr val="0a9aa0"/>
            </a:solidFill>
            <a:ln w="28440">
              <a:noFill/>
            </a:ln>
          </c:spPr>
          <c:marker>
            <c:symbol val="circle"/>
            <c:size val="9"/>
            <c:spPr>
              <a:solidFill>
                <a:srgbClr val="0a9aa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Графики!$D$6:$D$10</c:f>
              <c:numCache>
                <c:formatCode>0.0" %"</c:formatCode>
                <c:ptCount val="5"/>
                <c:pt idx="0">
                  <c:v>69.6099335256491</c:v>
                </c:pt>
                <c:pt idx="1">
                  <c:v>21.8236548350684</c:v>
                </c:pt>
                <c:pt idx="2">
                  <c:v>5.92625109745391</c:v>
                </c:pt>
                <c:pt idx="3">
                  <c:v>2.53982189890882</c:v>
                </c:pt>
                <c:pt idx="4">
                  <c:v>0.100338642919855</c:v>
                </c:pt>
              </c:numCache>
            </c:numRef>
          </c:xVal>
          <c:yVal>
            <c:numRef>
              <c:f>Графики!$H$6:$H$10</c:f>
              <c:numCache>
                <c:formatCode>0.0" %"</c:formatCode>
                <c:ptCount val="5"/>
                <c:pt idx="0">
                  <c:v>3.94909167464931</c:v>
                </c:pt>
                <c:pt idx="1">
                  <c:v>27.224642028338</c:v>
                </c:pt>
                <c:pt idx="2">
                  <c:v>6.28272068097244</c:v>
                </c:pt>
                <c:pt idx="3">
                  <c:v>72.4753399241379</c:v>
                </c:pt>
                <c:pt idx="4">
                  <c:v>77.0551750371122</c:v>
                </c:pt>
              </c:numCache>
            </c:numRef>
          </c:yVal>
          <c:smooth val="1"/>
        </c:ser>
        <c:axId val="32260707"/>
        <c:axId val="99404718"/>
      </c:scatterChart>
      <c:valAx>
        <c:axId val="3226070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доля в выручке,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low"/>
        <c:spPr>
          <a:ln w="9360">
            <a:solidFill>
              <a:srgbClr val="c9d2dc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7a8794"/>
                </a:solidFill>
                <a:latin typeface="Arial"/>
              </a:defRPr>
            </a:pPr>
          </a:p>
        </c:txPr>
        <c:crossAx val="99404718"/>
        <c:crosses val="autoZero"/>
        <c:crossBetween val="midCat"/>
      </c:valAx>
      <c:valAx>
        <c:axId val="99404718"/>
        <c:scaling>
          <c:orientation val="minMax"/>
        </c:scaling>
        <c:delete val="0"/>
        <c:axPos val="l"/>
        <c:majorGridlines>
          <c:spPr>
            <a:ln w="9360">
              <a:solidFill>
                <a:srgbClr val="e3e8ee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CV,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c9d2dc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7a8794"/>
                </a:solidFill>
                <a:latin typeface="Arial"/>
              </a:defRPr>
            </a:pPr>
          </a:p>
        </c:txPr>
        <c:crossAx val="32260707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3</xdr:row>
      <xdr:rowOff>0</xdr:rowOff>
    </xdr:from>
    <xdr:to>
      <xdr:col>21</xdr:col>
      <xdr:colOff>4320</xdr:colOff>
      <xdr:row>16</xdr:row>
      <xdr:rowOff>151200</xdr:rowOff>
    </xdr:to>
    <xdr:graphicFrame>
      <xdr:nvGraphicFramePr>
        <xdr:cNvPr id="0" name="Chart 1"/>
        <xdr:cNvGraphicFramePr/>
      </xdr:nvGraphicFramePr>
      <xdr:xfrm>
        <a:off x="6977880" y="95256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20</xdr:row>
      <xdr:rowOff>0</xdr:rowOff>
    </xdr:from>
    <xdr:to>
      <xdr:col>21</xdr:col>
      <xdr:colOff>4320</xdr:colOff>
      <xdr:row>35</xdr:row>
      <xdr:rowOff>93960</xdr:rowOff>
    </xdr:to>
    <xdr:graphicFrame>
      <xdr:nvGraphicFramePr>
        <xdr:cNvPr id="1" name="Chart 2"/>
        <xdr:cNvGraphicFramePr/>
      </xdr:nvGraphicFramePr>
      <xdr:xfrm>
        <a:off x="6977880" y="451476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0</xdr:colOff>
      <xdr:row>37</xdr:row>
      <xdr:rowOff>0</xdr:rowOff>
    </xdr:from>
    <xdr:to>
      <xdr:col>21</xdr:col>
      <xdr:colOff>4320</xdr:colOff>
      <xdr:row>51</xdr:row>
      <xdr:rowOff>113040</xdr:rowOff>
    </xdr:to>
    <xdr:graphicFrame>
      <xdr:nvGraphicFramePr>
        <xdr:cNvPr id="2" name="Chart 3"/>
        <xdr:cNvGraphicFramePr/>
      </xdr:nvGraphicFramePr>
      <xdr:xfrm>
        <a:off x="6977880" y="783900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SCM_1_2_ABC_XYZ_Template.xlsx" TargetMode="External"/><Relationship Id="rId2" Type="http://schemas.openxmlformats.org/officeDocument/2006/relationships/hyperlink" Target="SCM_1_2_ABC_XYZ_Template.xlsx" TargetMode="External"/><Relationship Id="rId3" Type="http://schemas.openxmlformats.org/officeDocument/2006/relationships/hyperlink" Target="SCM_1_2_ABC_XYZ_Template.xlsx" TargetMode="External"/><Relationship Id="rId4" Type="http://schemas.openxmlformats.org/officeDocument/2006/relationships/hyperlink" Target="SCM_1_2_ABC_XYZ_Template.xlsx" TargetMode="External"/><Relationship Id="rId5" Type="http://schemas.openxmlformats.org/officeDocument/2006/relationships/hyperlink" Target="SCM_1_2_ABC_XYZ_Template.xlsx" TargetMode="External"/><Relationship Id="rId6" Type="http://schemas.openxmlformats.org/officeDocument/2006/relationships/hyperlink" Target="SCM_1_2_ABC_XYZ_Template.xlsx" TargetMode="External"/><Relationship Id="rId7" Type="http://schemas.openxmlformats.org/officeDocument/2006/relationships/hyperlink" Target="SCM_1_2_ABC_XYZ_Template.xlsx" TargetMode="External"/><Relationship Id="rId8" Type="http://schemas.openxmlformats.org/officeDocument/2006/relationships/hyperlink" Target="SCM_1_2_ABC_XYZ_Template.xlsx" TargetMode="External"/><Relationship Id="rId9" Type="http://schemas.openxmlformats.org/officeDocument/2006/relationships/hyperlink" Target="SCM_1_2_ABC_XYZ_Template.xlsx" TargetMode="External"/><Relationship Id="rId10" Type="http://schemas.openxmlformats.org/officeDocument/2006/relationships/hyperlink" Target="SCM_1_2_ABC_XYZ_Template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SCM_1_2_ABC_XYZ_Template.xlsx" TargetMode="External"/><Relationship Id="rId2" Type="http://schemas.openxmlformats.org/officeDocument/2006/relationships/hyperlink" Target="SCM_1_2_ABC_XYZ_Template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548"/>
    <pageSetUpPr fitToPage="true"/>
  </sheetPr>
  <dimension ref="B1:E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"/>
    <col collapsed="false" customWidth="true" hidden="false" outlineLevel="0" max="3" min="3" style="0" width="26"/>
    <col collapsed="false" customWidth="true" hidden="false" outlineLevel="0" max="5" min="4" style="0" width="44"/>
    <col collapsed="false" customWidth="true" hidden="false" outlineLevel="0" max="6" min="6" style="0" width="3"/>
  </cols>
  <sheetData>
    <row r="1" customFormat="false" ht="30" hidden="false" customHeight="true" outlineLevel="0" collapsed="false">
      <c r="B1" s="1" t="s">
        <v>0</v>
      </c>
      <c r="C1" s="1"/>
      <c r="D1" s="1"/>
      <c r="E1" s="1"/>
    </row>
    <row r="2" customFormat="false" ht="30" hidden="false" customHeight="true" outlineLevel="0" collapsed="false">
      <c r="B2" s="2" t="s">
        <v>1</v>
      </c>
      <c r="C2" s="2"/>
      <c r="D2" s="2"/>
      <c r="E2" s="2"/>
    </row>
    <row r="4" customFormat="false" ht="21.75" hidden="false" customHeight="true" outlineLevel="0" collapsed="false">
      <c r="B4" s="3" t="s">
        <v>2</v>
      </c>
    </row>
    <row r="5" customFormat="false" ht="21.75" hidden="false" customHeight="true" outlineLevel="0" collapsed="false">
      <c r="B5" s="4" t="s">
        <v>3</v>
      </c>
      <c r="C5" s="4"/>
      <c r="D5" s="4"/>
      <c r="E5" s="4"/>
    </row>
    <row r="6" customFormat="false" ht="21.75" hidden="false" customHeight="true" outlineLevel="0" collapsed="false">
      <c r="B6" s="4"/>
      <c r="C6" s="4"/>
      <c r="D6" s="4"/>
      <c r="E6" s="4"/>
    </row>
    <row r="8" customFormat="false" ht="21.75" hidden="false" customHeight="true" outlineLevel="0" collapsed="false">
      <c r="B8" s="3" t="s">
        <v>4</v>
      </c>
    </row>
    <row r="9" customFormat="false" ht="30" hidden="false" customHeight="true" outlineLevel="0" collapsed="false">
      <c r="B9" s="5" t="s">
        <v>5</v>
      </c>
      <c r="C9" s="6" t="s">
        <v>6</v>
      </c>
      <c r="D9" s="4" t="s">
        <v>7</v>
      </c>
      <c r="E9" s="4"/>
    </row>
    <row r="10" customFormat="false" ht="30" hidden="false" customHeight="true" outlineLevel="0" collapsed="false">
      <c r="B10" s="5" t="s">
        <v>8</v>
      </c>
      <c r="C10" s="6" t="s">
        <v>9</v>
      </c>
      <c r="D10" s="4" t="s">
        <v>10</v>
      </c>
      <c r="E10" s="4"/>
    </row>
    <row r="11" customFormat="false" ht="30" hidden="false" customHeight="true" outlineLevel="0" collapsed="false">
      <c r="B11" s="5" t="s">
        <v>11</v>
      </c>
      <c r="C11" s="6" t="s">
        <v>12</v>
      </c>
      <c r="D11" s="4" t="s">
        <v>13</v>
      </c>
      <c r="E11" s="4"/>
    </row>
    <row r="12" customFormat="false" ht="30" hidden="false" customHeight="true" outlineLevel="0" collapsed="false">
      <c r="B12" s="5" t="s">
        <v>14</v>
      </c>
      <c r="C12" s="6" t="s">
        <v>15</v>
      </c>
      <c r="D12" s="4" t="s">
        <v>16</v>
      </c>
      <c r="E12" s="4"/>
    </row>
    <row r="14" customFormat="false" ht="21.75" hidden="false" customHeight="true" outlineLevel="0" collapsed="false">
      <c r="B14" s="3" t="s">
        <v>17</v>
      </c>
    </row>
    <row r="15" customFormat="false" ht="18" hidden="false" customHeight="true" outlineLevel="0" collapsed="false">
      <c r="C15" s="7" t="s">
        <v>18</v>
      </c>
      <c r="D15" s="8" t="s">
        <v>19</v>
      </c>
    </row>
    <row r="16" customFormat="false" ht="18" hidden="false" customHeight="true" outlineLevel="0" collapsed="false">
      <c r="C16" s="9" t="s">
        <v>20</v>
      </c>
      <c r="D16" s="8" t="s">
        <v>21</v>
      </c>
    </row>
    <row r="17" customFormat="false" ht="18" hidden="false" customHeight="true" outlineLevel="0" collapsed="false">
      <c r="C17" s="10" t="s">
        <v>22</v>
      </c>
      <c r="D17" s="8" t="s">
        <v>23</v>
      </c>
    </row>
    <row r="19" customFormat="false" ht="21.75" hidden="false" customHeight="true" outlineLevel="0" collapsed="false">
      <c r="B19" s="3" t="s">
        <v>24</v>
      </c>
    </row>
    <row r="20" customFormat="false" ht="23.85" hidden="false" customHeight="true" outlineLevel="0" collapsed="false">
      <c r="B20" s="11" t="s">
        <v>25</v>
      </c>
      <c r="C20" s="4" t="s">
        <v>26</v>
      </c>
      <c r="D20" s="4"/>
      <c r="E20" s="4"/>
    </row>
    <row r="21" customFormat="false" ht="15" hidden="false" customHeight="true" outlineLevel="0" collapsed="false">
      <c r="B21" s="11" t="s">
        <v>25</v>
      </c>
      <c r="C21" s="4" t="s">
        <v>27</v>
      </c>
      <c r="D21" s="4"/>
      <c r="E21" s="4"/>
    </row>
    <row r="22" customFormat="false" ht="15" hidden="false" customHeight="true" outlineLevel="0" collapsed="false">
      <c r="B22" s="11" t="s">
        <v>25</v>
      </c>
      <c r="C22" s="4" t="s">
        <v>28</v>
      </c>
      <c r="D22" s="4"/>
      <c r="E22" s="4"/>
    </row>
    <row r="23" customFormat="false" ht="23.85" hidden="false" customHeight="true" outlineLevel="0" collapsed="false">
      <c r="B23" s="11" t="s">
        <v>25</v>
      </c>
      <c r="C23" s="4" t="s">
        <v>29</v>
      </c>
      <c r="D23" s="4"/>
      <c r="E23" s="4"/>
    </row>
    <row r="24" customFormat="false" ht="15" hidden="false" customHeight="true" outlineLevel="0" collapsed="false">
      <c r="B24" s="11" t="s">
        <v>25</v>
      </c>
      <c r="C24" s="4" t="s">
        <v>30</v>
      </c>
      <c r="D24" s="4"/>
      <c r="E24" s="4"/>
    </row>
    <row r="26" customFormat="false" ht="21.75" hidden="false" customHeight="true" outlineLevel="0" collapsed="false">
      <c r="B26" s="3" t="s">
        <v>31</v>
      </c>
    </row>
    <row r="27" customFormat="false" ht="21.75" hidden="false" customHeight="true" outlineLevel="0" collapsed="false">
      <c r="C27" s="12" t="s">
        <v>32</v>
      </c>
      <c r="D27" s="12" t="s">
        <v>33</v>
      </c>
      <c r="E27" s="12" t="s">
        <v>34</v>
      </c>
    </row>
    <row r="28" customFormat="false" ht="30" hidden="false" customHeight="true" outlineLevel="0" collapsed="false">
      <c r="C28" s="13" t="s">
        <v>35</v>
      </c>
      <c r="D28" s="14" t="s">
        <v>36</v>
      </c>
      <c r="E28" s="14" t="s">
        <v>37</v>
      </c>
    </row>
    <row r="29" customFormat="false" ht="30" hidden="false" customHeight="true" outlineLevel="0" collapsed="false">
      <c r="C29" s="13" t="s">
        <v>38</v>
      </c>
      <c r="D29" s="14" t="s">
        <v>39</v>
      </c>
      <c r="E29" s="14" t="s">
        <v>40</v>
      </c>
    </row>
    <row r="30" customFormat="false" ht="30" hidden="false" customHeight="true" outlineLevel="0" collapsed="false">
      <c r="C30" s="13" t="s">
        <v>41</v>
      </c>
      <c r="D30" s="14" t="s">
        <v>42</v>
      </c>
      <c r="E30" s="14" t="s">
        <v>43</v>
      </c>
    </row>
    <row r="31" customFormat="false" ht="30" hidden="false" customHeight="true" outlineLevel="0" collapsed="false">
      <c r="C31" s="13" t="s">
        <v>44</v>
      </c>
      <c r="D31" s="14" t="s">
        <v>45</v>
      </c>
      <c r="E31" s="14" t="s">
        <v>46</v>
      </c>
    </row>
    <row r="32" customFormat="false" ht="30" hidden="false" customHeight="true" outlineLevel="0" collapsed="false">
      <c r="C32" s="13" t="s">
        <v>47</v>
      </c>
      <c r="D32" s="14" t="s">
        <v>48</v>
      </c>
      <c r="E32" s="14" t="s">
        <v>49</v>
      </c>
    </row>
    <row r="33" customFormat="false" ht="30" hidden="false" customHeight="true" outlineLevel="0" collapsed="false">
      <c r="C33" s="13" t="s">
        <v>50</v>
      </c>
      <c r="D33" s="14" t="s">
        <v>51</v>
      </c>
      <c r="E33" s="14" t="s">
        <v>52</v>
      </c>
    </row>
    <row r="35" customFormat="false" ht="27.75" hidden="false" customHeight="true" outlineLevel="0" collapsed="false">
      <c r="B35" s="15" t="s">
        <v>53</v>
      </c>
      <c r="C35" s="15"/>
      <c r="D35" s="15"/>
      <c r="E35" s="15"/>
    </row>
  </sheetData>
  <mergeCells count="13">
    <mergeCell ref="B1:E1"/>
    <mergeCell ref="B2:E2"/>
    <mergeCell ref="B5:E6"/>
    <mergeCell ref="D9:E9"/>
    <mergeCell ref="D10:E10"/>
    <mergeCell ref="D11:E11"/>
    <mergeCell ref="D12:E12"/>
    <mergeCell ref="C20:E20"/>
    <mergeCell ref="C21:E21"/>
    <mergeCell ref="C22:E22"/>
    <mergeCell ref="C23:E23"/>
    <mergeCell ref="C24:E24"/>
    <mergeCell ref="B35:E35"/>
  </mergeCells>
  <hyperlinks>
    <hyperlink ref="C9" r:id="rId1" location="'Ввод%20данных'!A1" display="Лист «Ввод данных»"/>
    <hyperlink ref="C10" r:id="rId2" location="'Расчёт%20ABC-XYZ'!A1" display="Лист «Расчёт ABC-XYZ»"/>
    <hyperlink ref="C11" r:id="rId3" location="'Матрица'!A1" display="Лист «Матрица»"/>
    <hyperlink ref="C12" r:id="rId4" location="'Практика'!A1" display="Лист «Практика»"/>
    <hyperlink ref="C28" r:id="rId5" location="'Ввод%20данных'!A1" display="Ввод данных"/>
    <hyperlink ref="C29" r:id="rId6" location="'Расчёт%20ABC-XYZ'!A1" display="Расчёт ABC-XYZ"/>
    <hyperlink ref="C30" r:id="rId7" location="'Матрица'!A1" display="Матрица"/>
    <hyperlink ref="C31" r:id="rId8" location="'Графики'!A1" display="Графики"/>
    <hyperlink ref="C32" r:id="rId9" location="'Справочник'!A1" display="Справочник"/>
    <hyperlink ref="C33" r:id="rId10" location="'Практика'!A1" display="Практика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Курс «Управление запасами» · Дмитрий Фролов · урок 1.2 · SCM_1_2_ABC_XYZ_Template.xlsx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C7A10"/>
    <pageSetUpPr fitToPage="true"/>
  </sheetPr>
  <dimension ref="A1:U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16" min="5" style="0" width="6"/>
    <col collapsed="false" customWidth="true" hidden="false" outlineLevel="0" max="17" min="17" style="0" width="7"/>
    <col collapsed="false" customWidth="true" hidden="false" outlineLevel="0" max="18" min="18" style="0" width="44"/>
    <col collapsed="false" customWidth="true" hidden="false" outlineLevel="0" max="19" min="19" style="0" width="3"/>
    <col collapsed="false" customWidth="true" hidden="false" outlineLevel="0" max="20" min="20" style="0" width="27"/>
    <col collapsed="false" customWidth="true" hidden="false" outlineLevel="0" max="21" min="21" style="0" width="14"/>
  </cols>
  <sheetData>
    <row r="1" customFormat="false" ht="30" hidden="false" customHeight="true" outlineLevel="0" collapsed="false">
      <c r="B1" s="1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30" hidden="false" customHeight="true" outlineLevel="0" collapsed="false">
      <c r="B2" s="2" t="s">
        <v>55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6" hidden="false" customHeight="true" outlineLevel="0" collapsed="false"/>
    <row r="4" customFormat="false" ht="31.5" hidden="false" customHeight="true" outlineLevel="0" collapsed="false">
      <c r="A4" s="12" t="s">
        <v>56</v>
      </c>
      <c r="B4" s="16" t="s">
        <v>57</v>
      </c>
      <c r="C4" s="16" t="s">
        <v>58</v>
      </c>
      <c r="D4" s="16" t="s">
        <v>59</v>
      </c>
      <c r="E4" s="16" t="s">
        <v>60</v>
      </c>
      <c r="F4" s="16" t="s">
        <v>61</v>
      </c>
      <c r="G4" s="16" t="s">
        <v>62</v>
      </c>
      <c r="H4" s="16" t="s">
        <v>63</v>
      </c>
      <c r="I4" s="16" t="s">
        <v>64</v>
      </c>
      <c r="J4" s="16" t="s">
        <v>65</v>
      </c>
      <c r="K4" s="16" t="s">
        <v>66</v>
      </c>
      <c r="L4" s="16" t="s">
        <v>67</v>
      </c>
      <c r="M4" s="16" t="s">
        <v>68</v>
      </c>
      <c r="N4" s="16" t="s">
        <v>69</v>
      </c>
      <c r="O4" s="16" t="s">
        <v>70</v>
      </c>
      <c r="P4" s="16" t="s">
        <v>71</v>
      </c>
      <c r="Q4" s="12" t="s">
        <v>72</v>
      </c>
      <c r="R4" s="12" t="s">
        <v>73</v>
      </c>
      <c r="T4" s="12" t="s">
        <v>74</v>
      </c>
      <c r="U4" s="12"/>
    </row>
    <row r="5" customFormat="false" ht="15" hidden="false" customHeight="false" outlineLevel="0" collapsed="false">
      <c r="A5" s="17" t="n">
        <v>1</v>
      </c>
      <c r="B5" s="7" t="s">
        <v>75</v>
      </c>
      <c r="C5" s="18" t="s">
        <v>76</v>
      </c>
      <c r="D5" s="19" t="n">
        <v>1500</v>
      </c>
      <c r="E5" s="19" t="n">
        <v>120</v>
      </c>
      <c r="F5" s="19" t="n">
        <v>115</v>
      </c>
      <c r="G5" s="19" t="n">
        <v>130</v>
      </c>
      <c r="H5" s="19" t="n">
        <v>125</v>
      </c>
      <c r="I5" s="19" t="n">
        <v>118</v>
      </c>
      <c r="J5" s="19" t="n">
        <v>122</v>
      </c>
      <c r="K5" s="19" t="n">
        <v>128</v>
      </c>
      <c r="L5" s="19" t="n">
        <v>120</v>
      </c>
      <c r="M5" s="19" t="n">
        <v>125</v>
      </c>
      <c r="N5" s="19" t="n">
        <v>119</v>
      </c>
      <c r="O5" s="19" t="n">
        <v>127</v>
      </c>
      <c r="P5" s="19" t="n">
        <v>131</v>
      </c>
      <c r="Q5" s="17" t="n">
        <f aca="false">IF(AND($B5&lt;&gt;"",ISNUMBER($D5),COUNT($E5:$P5)=12),1,"")</f>
        <v>1</v>
      </c>
      <c r="R5" s="20" t="str">
        <f aca="false">IF(AND($B5="",COUNT($D5:$P5)=0),"",IF($B5="","нет кода SKU — строка не считается",IF(NOT(ISNUMBER($D5)),"нет цены — строка не считается",IF(COUNT($E5:$P5)&lt;12,"заполнено "&amp;COUNT($E5:$P5)&amp;" из 12 месяцев — строка не считается",IF(SUM($E5:$P5)=0,"все 12 месяцев по нулю: CV не определён (n.a.)","в расчёте")))))</f>
        <v>в расчёте</v>
      </c>
      <c r="T5" s="21" t="s">
        <v>77</v>
      </c>
      <c r="U5" s="22" t="n">
        <f aca="false">COUNTIF($Q$5:$Q$34,1)</f>
        <v>5</v>
      </c>
    </row>
    <row r="6" customFormat="false" ht="15" hidden="false" customHeight="false" outlineLevel="0" collapsed="false">
      <c r="A6" s="17" t="n">
        <v>2</v>
      </c>
      <c r="B6" s="7" t="s">
        <v>78</v>
      </c>
      <c r="C6" s="18" t="s">
        <v>79</v>
      </c>
      <c r="D6" s="19" t="n">
        <v>800</v>
      </c>
      <c r="E6" s="19" t="n">
        <v>50</v>
      </c>
      <c r="F6" s="19" t="n">
        <v>45</v>
      </c>
      <c r="G6" s="19" t="n">
        <v>55</v>
      </c>
      <c r="H6" s="19" t="n">
        <v>80</v>
      </c>
      <c r="I6" s="19" t="n">
        <v>90</v>
      </c>
      <c r="J6" s="19" t="n">
        <v>95</v>
      </c>
      <c r="K6" s="19" t="n">
        <v>100</v>
      </c>
      <c r="L6" s="19" t="n">
        <v>95</v>
      </c>
      <c r="M6" s="19" t="n">
        <v>85</v>
      </c>
      <c r="N6" s="19" t="n">
        <v>70</v>
      </c>
      <c r="O6" s="19" t="n">
        <v>55</v>
      </c>
      <c r="P6" s="19" t="n">
        <v>50</v>
      </c>
      <c r="Q6" s="17" t="n">
        <f aca="false">IF(AND($B6&lt;&gt;"",ISNUMBER($D6),COUNT($E6:$P6)=12),1,"")</f>
        <v>1</v>
      </c>
      <c r="R6" s="20" t="str">
        <f aca="false">IF(AND($B6="",COUNT($D6:$P6)=0),"",IF($B6="","нет кода SKU — строка не считается",IF(NOT(ISNUMBER($D6)),"нет цены — строка не считается",IF(COUNT($E6:$P6)&lt;12,"заполнено "&amp;COUNT($E6:$P6)&amp;" из 12 месяцев — строка не считается",IF(SUM($E6:$P6)=0,"все 12 месяцев по нулю: CV не определён (n.a.)","в расчёте")))))</f>
        <v>в расчёте</v>
      </c>
      <c r="T6" s="21" t="s">
        <v>80</v>
      </c>
      <c r="U6" s="22" t="n">
        <f aca="false">COUNTIF($B$5:$B$34,"&lt;&gt;")-COUNTIF($Q$5:$Q$34,1)</f>
        <v>0</v>
      </c>
    </row>
    <row r="7" customFormat="false" ht="15" hidden="false" customHeight="false" outlineLevel="0" collapsed="false">
      <c r="A7" s="17" t="n">
        <v>3</v>
      </c>
      <c r="B7" s="7" t="s">
        <v>81</v>
      </c>
      <c r="C7" s="18" t="s">
        <v>82</v>
      </c>
      <c r="D7" s="19" t="n">
        <v>500</v>
      </c>
      <c r="E7" s="19" t="n">
        <v>30</v>
      </c>
      <c r="F7" s="19" t="n">
        <v>32</v>
      </c>
      <c r="G7" s="19" t="n">
        <v>28</v>
      </c>
      <c r="H7" s="19" t="n">
        <v>35</v>
      </c>
      <c r="I7" s="19" t="n">
        <v>33</v>
      </c>
      <c r="J7" s="19" t="n">
        <v>31</v>
      </c>
      <c r="K7" s="19" t="n">
        <v>34</v>
      </c>
      <c r="L7" s="19" t="n">
        <v>29</v>
      </c>
      <c r="M7" s="19" t="n">
        <v>32</v>
      </c>
      <c r="N7" s="19" t="n">
        <v>30</v>
      </c>
      <c r="O7" s="19" t="n">
        <v>33</v>
      </c>
      <c r="P7" s="19" t="n">
        <v>31</v>
      </c>
      <c r="Q7" s="17" t="n">
        <f aca="false">IF(AND($B7&lt;&gt;"",ISNUMBER($D7),COUNT($E7:$P7)=12),1,"")</f>
        <v>1</v>
      </c>
      <c r="R7" s="20" t="str">
        <f aca="false">IF(AND($B7="",COUNT($D7:$P7)=0),"",IF($B7="","нет кода SKU — строка не считается",IF(NOT(ISNUMBER($D7)),"нет цены — строка не считается",IF(COUNT($E7:$P7)&lt;12,"заполнено "&amp;COUNT($E7:$P7)&amp;" из 12 месяцев — строка не считается",IF(SUM($E7:$P7)=0,"все 12 месяцев по нулю: CV не определён (n.a.)","в расчёте")))))</f>
        <v>в расчёте</v>
      </c>
      <c r="T7" s="21" t="s">
        <v>83</v>
      </c>
      <c r="U7" s="22" t="n">
        <f aca="false">COUNTA($E$4:$P$4)</f>
        <v>12</v>
      </c>
    </row>
    <row r="8" customFormat="false" ht="15" hidden="false" customHeight="false" outlineLevel="0" collapsed="false">
      <c r="A8" s="17" t="n">
        <v>4</v>
      </c>
      <c r="B8" s="7" t="s">
        <v>84</v>
      </c>
      <c r="C8" s="18" t="s">
        <v>85</v>
      </c>
      <c r="D8" s="19" t="n">
        <v>300</v>
      </c>
      <c r="E8" s="19" t="n">
        <v>10</v>
      </c>
      <c r="F8" s="19" t="n">
        <v>25</v>
      </c>
      <c r="G8" s="19" t="n">
        <v>5</v>
      </c>
      <c r="H8" s="19" t="n">
        <v>40</v>
      </c>
      <c r="I8" s="19" t="n">
        <v>8</v>
      </c>
      <c r="J8" s="19" t="n">
        <v>50</v>
      </c>
      <c r="K8" s="19" t="n">
        <v>3</v>
      </c>
      <c r="L8" s="19" t="n">
        <v>35</v>
      </c>
      <c r="M8" s="19" t="n">
        <v>12</v>
      </c>
      <c r="N8" s="19" t="n">
        <v>45</v>
      </c>
      <c r="O8" s="19" t="n">
        <v>7</v>
      </c>
      <c r="P8" s="19" t="n">
        <v>30</v>
      </c>
      <c r="Q8" s="17" t="n">
        <f aca="false">IF(AND($B8&lt;&gt;"",ISNUMBER($D8),COUNT($E8:$P8)=12),1,"")</f>
        <v>1</v>
      </c>
      <c r="R8" s="20" t="str">
        <f aca="false">IF(AND($B8="",COUNT($D8:$P8)=0),"",IF($B8="","нет кода SKU — строка не считается",IF(NOT(ISNUMBER($D8)),"нет цены — строка не считается",IF(COUNT($E8:$P8)&lt;12,"заполнено "&amp;COUNT($E8:$P8)&amp;" из 12 месяцев — строка не считается",IF(SUM($E8:$P8)=0,"все 12 месяцев по нулю: CV не определён (n.a.)","в расчёте")))))</f>
        <v>в расчёте</v>
      </c>
      <c r="T8" s="21" t="s">
        <v>86</v>
      </c>
      <c r="U8" s="22" t="n">
        <f aca="false">SUM('Расчёт ABC-XYZ'!$C$5:$C$34)</f>
        <v>3014</v>
      </c>
    </row>
    <row r="9" customFormat="false" ht="15" hidden="false" customHeight="false" outlineLevel="0" collapsed="false">
      <c r="A9" s="17" t="n">
        <v>5</v>
      </c>
      <c r="B9" s="7" t="s">
        <v>87</v>
      </c>
      <c r="C9" s="18" t="s">
        <v>88</v>
      </c>
      <c r="D9" s="19" t="n">
        <v>200</v>
      </c>
      <c r="E9" s="19" t="n">
        <v>2</v>
      </c>
      <c r="F9" s="19" t="n">
        <v>1</v>
      </c>
      <c r="G9" s="19" t="n">
        <v>3</v>
      </c>
      <c r="H9" s="19" t="n">
        <v>0</v>
      </c>
      <c r="I9" s="19" t="n">
        <v>2</v>
      </c>
      <c r="J9" s="19" t="n">
        <v>1</v>
      </c>
      <c r="K9" s="19" t="n">
        <v>0</v>
      </c>
      <c r="L9" s="19" t="n">
        <v>3</v>
      </c>
      <c r="M9" s="19" t="n">
        <v>1</v>
      </c>
      <c r="N9" s="19" t="n">
        <v>2</v>
      </c>
      <c r="O9" s="19" t="n">
        <v>0</v>
      </c>
      <c r="P9" s="19" t="n">
        <v>1</v>
      </c>
      <c r="Q9" s="17" t="n">
        <f aca="false">IF(AND($B9&lt;&gt;"",ISNUMBER($D9),COUNT($E9:$P9)=12),1,"")</f>
        <v>1</v>
      </c>
      <c r="R9" s="20" t="str">
        <f aca="false">IF(AND($B9="",COUNT($D9:$P9)=0),"",IF($B9="","нет кода SKU — строка не считается",IF(NOT(ISNUMBER($D9)),"нет цены — строка не считается",IF(COUNT($E9:$P9)&lt;12,"заполнено "&amp;COUNT($E9:$P9)&amp;" из 12 месяцев — строка не считается",IF(SUM($E9:$P9)=0,"все 12 месяцев по нулю: CV не определён (n.a.)","в расчёте")))))</f>
        <v>в расчёте</v>
      </c>
      <c r="T9" s="21" t="s">
        <v>89</v>
      </c>
      <c r="U9" s="22" t="n">
        <f aca="false">'Расчёт ABC-XYZ'!$E$35</f>
        <v>3189200</v>
      </c>
    </row>
    <row r="10" customFormat="false" ht="15" hidden="false" customHeight="false" outlineLevel="0" collapsed="false">
      <c r="A10" s="17" t="n">
        <v>6</v>
      </c>
      <c r="B10" s="7"/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7" t="str">
        <f aca="false">IF(AND($B10&lt;&gt;"",ISNUMBER($D10),COUNT($E10:$P10)=12),1,"")</f>
        <v/>
      </c>
      <c r="R10" s="20" t="str">
        <f aca="false">IF(AND($B10="",COUNT($D10:$P10)=0),"",IF($B10="","нет кода SKU — строка не считается",IF(NOT(ISNUMBER($D10)),"нет цены — строка не считается",IF(COUNT($E10:$P10)&lt;12,"заполнено "&amp;COUNT($E10:$P10)&amp;" из 12 месяцев — строка не считается",IF(SUM($E10:$P10)=0,"все 12 месяцев по нулю: CV не определён (n.a.)","в расчёте")))))</f>
        <v/>
      </c>
      <c r="T10" s="21" t="s">
        <v>90</v>
      </c>
      <c r="U10" s="22" t="n">
        <f aca="false">COUNTIF('Расчёт ABC-XYZ'!$K$5:$K$34,"n.a.")</f>
        <v>0</v>
      </c>
    </row>
    <row r="11" customFormat="false" ht="15" hidden="false" customHeight="false" outlineLevel="0" collapsed="false">
      <c r="A11" s="17" t="n">
        <v>7</v>
      </c>
      <c r="B11" s="7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7" t="str">
        <f aca="false">IF(AND($B11&lt;&gt;"",ISNUMBER($D11),COUNT($E11:$P11)=12),1,"")</f>
        <v/>
      </c>
      <c r="R11" s="20" t="str">
        <f aca="false">IF(AND($B11="",COUNT($D11:$P11)=0),"",IF($B11="","нет кода SKU — строка не считается",IF(NOT(ISNUMBER($D11)),"нет цены — строка не считается",IF(COUNT($E11:$P11)&lt;12,"заполнено "&amp;COUNT($E11:$P11)&amp;" из 12 месяцев — строка не считается",IF(SUM($E11:$P11)=0,"все 12 месяцев по нулю: CV не определён (n.a.)","в расчёте")))))</f>
        <v/>
      </c>
    </row>
    <row r="12" customFormat="false" ht="15" hidden="false" customHeight="false" outlineLevel="0" collapsed="false">
      <c r="A12" s="17" t="n">
        <v>8</v>
      </c>
      <c r="B12" s="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7" t="str">
        <f aca="false">IF(AND($B12&lt;&gt;"",ISNUMBER($D12),COUNT($E12:$P12)=12),1,"")</f>
        <v/>
      </c>
      <c r="R12" s="20" t="str">
        <f aca="false">IF(AND($B12="",COUNT($D12:$P12)=0),"",IF($B12="","нет кода SKU — строка не считается",IF(NOT(ISNUMBER($D12)),"нет цены — строка не считается",IF(COUNT($E12:$P12)&lt;12,"заполнено "&amp;COUNT($E12:$P12)&amp;" из 12 месяцев — строка не считается",IF(SUM($E12:$P12)=0,"все 12 месяцев по нулю: CV не определён (n.a.)","в расчёте")))))</f>
        <v/>
      </c>
      <c r="T12" s="6" t="s">
        <v>91</v>
      </c>
    </row>
    <row r="13" customFormat="false" ht="15" hidden="false" customHeight="false" outlineLevel="0" collapsed="false">
      <c r="A13" s="17" t="n">
        <v>9</v>
      </c>
      <c r="B13" s="7"/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7" t="str">
        <f aca="false">IF(AND($B13&lt;&gt;"",ISNUMBER($D13),COUNT($E13:$P13)=12),1,"")</f>
        <v/>
      </c>
      <c r="R13" s="20" t="str">
        <f aca="false">IF(AND($B13="",COUNT($D13:$P13)=0),"",IF($B13="","нет кода SKU — строка не считается",IF(NOT(ISNUMBER($D13)),"нет цены — строка не считается",IF(COUNT($E13:$P13)&lt;12,"заполнено "&amp;COUNT($E13:$P13)&amp;" из 12 месяцев — строка не считается",IF(SUM($E13:$P13)=0,"все 12 месяцев по нулю: CV не определён (n.a.)","в расчёте")))))</f>
        <v/>
      </c>
      <c r="T13" s="6" t="s">
        <v>92</v>
      </c>
    </row>
    <row r="14" customFormat="false" ht="15" hidden="false" customHeight="false" outlineLevel="0" collapsed="false">
      <c r="A14" s="17" t="n">
        <v>10</v>
      </c>
      <c r="B14" s="7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7" t="str">
        <f aca="false">IF(AND($B14&lt;&gt;"",ISNUMBER($D14),COUNT($E14:$P14)=12),1,"")</f>
        <v/>
      </c>
      <c r="R14" s="20" t="str">
        <f aca="false">IF(AND($B14="",COUNT($D14:$P14)=0),"",IF($B14="","нет кода SKU — строка не считается",IF(NOT(ISNUMBER($D14)),"нет цены — строка не считается",IF(COUNT($E14:$P14)&lt;12,"заполнено "&amp;COUNT($E14:$P14)&amp;" из 12 месяцев — строка не считается",IF(SUM($E14:$P14)=0,"все 12 месяцев по нулю: CV не определён (n.a.)","в расчёте")))))</f>
        <v/>
      </c>
    </row>
    <row r="15" customFormat="false" ht="15" hidden="false" customHeight="true" outlineLevel="0" collapsed="false">
      <c r="A15" s="17" t="n">
        <v>11</v>
      </c>
      <c r="B15" s="7"/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7" t="str">
        <f aca="false">IF(AND($B15&lt;&gt;"",ISNUMBER($D15),COUNT($E15:$P15)=12),1,"")</f>
        <v/>
      </c>
      <c r="R15" s="20" t="str">
        <f aca="false">IF(AND($B15="",COUNT($D15:$P15)=0),"",IF($B15="","нет кода SKU — строка не считается",IF(NOT(ISNUMBER($D15)),"нет цены — строка не считается",IF(COUNT($E15:$P15)&lt;12,"заполнено "&amp;COUNT($E15:$P15)&amp;" из 12 месяцев — строка не считается",IF(SUM($E15:$P15)=0,"все 12 месяцев по нулю: CV не определён (n.a.)","в расчёте")))))</f>
        <v/>
      </c>
      <c r="T15" s="15" t="s">
        <v>93</v>
      </c>
      <c r="U15" s="15"/>
    </row>
    <row r="16" customFormat="false" ht="15" hidden="false" customHeight="false" outlineLevel="0" collapsed="false">
      <c r="A16" s="17" t="n">
        <v>12</v>
      </c>
      <c r="B16" s="7"/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7" t="str">
        <f aca="false">IF(AND($B16&lt;&gt;"",ISNUMBER($D16),COUNT($E16:$P16)=12),1,"")</f>
        <v/>
      </c>
      <c r="R16" s="20" t="str">
        <f aca="false">IF(AND($B16="",COUNT($D16:$P16)=0),"",IF($B16="","нет кода SKU — строка не считается",IF(NOT(ISNUMBER($D16)),"нет цены — строка не считается",IF(COUNT($E16:$P16)&lt;12,"заполнено "&amp;COUNT($E16:$P16)&amp;" из 12 месяцев — строка не считается",IF(SUM($E16:$P16)=0,"все 12 месяцев по нулю: CV не определён (n.a.)","в расчёте")))))</f>
        <v/>
      </c>
      <c r="T16" s="15"/>
      <c r="U16" s="15"/>
    </row>
    <row r="17" customFormat="false" ht="15" hidden="false" customHeight="false" outlineLevel="0" collapsed="false">
      <c r="A17" s="17" t="n">
        <v>13</v>
      </c>
      <c r="B17" s="7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7" t="str">
        <f aca="false">IF(AND($B17&lt;&gt;"",ISNUMBER($D17),COUNT($E17:$P17)=12),1,"")</f>
        <v/>
      </c>
      <c r="R17" s="20" t="str">
        <f aca="false">IF(AND($B17="",COUNT($D17:$P17)=0),"",IF($B17="","нет кода SKU — строка не считается",IF(NOT(ISNUMBER($D17)),"нет цены — строка не считается",IF(COUNT($E17:$P17)&lt;12,"заполнено "&amp;COUNT($E17:$P17)&amp;" из 12 месяцев — строка не считается",IF(SUM($E17:$P17)=0,"все 12 месяцев по нулю: CV не определён (n.a.)","в расчёте")))))</f>
        <v/>
      </c>
      <c r="T17" s="15"/>
      <c r="U17" s="15"/>
    </row>
    <row r="18" customFormat="false" ht="15" hidden="false" customHeight="false" outlineLevel="0" collapsed="false">
      <c r="A18" s="17" t="n">
        <v>14</v>
      </c>
      <c r="B18" s="7"/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7" t="str">
        <f aca="false">IF(AND($B18&lt;&gt;"",ISNUMBER($D18),COUNT($E18:$P18)=12),1,"")</f>
        <v/>
      </c>
      <c r="R18" s="20" t="str">
        <f aca="false">IF(AND($B18="",COUNT($D18:$P18)=0),"",IF($B18="","нет кода SKU — строка не считается",IF(NOT(ISNUMBER($D18)),"нет цены — строка не считается",IF(COUNT($E18:$P18)&lt;12,"заполнено "&amp;COUNT($E18:$P18)&amp;" из 12 месяцев — строка не считается",IF(SUM($E18:$P18)=0,"все 12 месяцев по нулю: CV не определён (n.a.)","в расчёте")))))</f>
        <v/>
      </c>
      <c r="T18" s="15"/>
      <c r="U18" s="15"/>
    </row>
    <row r="19" customFormat="false" ht="15" hidden="false" customHeight="false" outlineLevel="0" collapsed="false">
      <c r="A19" s="17" t="n">
        <v>15</v>
      </c>
      <c r="B19" s="7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7" t="str">
        <f aca="false">IF(AND($B19&lt;&gt;"",ISNUMBER($D19),COUNT($E19:$P19)=12),1,"")</f>
        <v/>
      </c>
      <c r="R19" s="20" t="str">
        <f aca="false">IF(AND($B19="",COUNT($D19:$P19)=0),"",IF($B19="","нет кода SKU — строка не считается",IF(NOT(ISNUMBER($D19)),"нет цены — строка не считается",IF(COUNT($E19:$P19)&lt;12,"заполнено "&amp;COUNT($E19:$P19)&amp;" из 12 месяцев — строка не считается",IF(SUM($E19:$P19)=0,"все 12 месяцев по нулю: CV не определён (n.a.)","в расчёте")))))</f>
        <v/>
      </c>
      <c r="T19" s="15"/>
      <c r="U19" s="15"/>
    </row>
    <row r="20" customFormat="false" ht="15" hidden="false" customHeight="false" outlineLevel="0" collapsed="false">
      <c r="A20" s="17" t="n">
        <v>16</v>
      </c>
      <c r="B20" s="7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7" t="str">
        <f aca="false">IF(AND($B20&lt;&gt;"",ISNUMBER($D20),COUNT($E20:$P20)=12),1,"")</f>
        <v/>
      </c>
      <c r="R20" s="20" t="str">
        <f aca="false">IF(AND($B20="",COUNT($D20:$P20)=0),"",IF($B20="","нет кода SKU — строка не считается",IF(NOT(ISNUMBER($D20)),"нет цены — строка не считается",IF(COUNT($E20:$P20)&lt;12,"заполнено "&amp;COUNT($E20:$P20)&amp;" из 12 месяцев — строка не считается",IF(SUM($E20:$P20)=0,"все 12 месяцев по нулю: CV не определён (n.a.)","в расчёте")))))</f>
        <v/>
      </c>
      <c r="T20" s="15"/>
      <c r="U20" s="15"/>
    </row>
    <row r="21" customFormat="false" ht="15" hidden="false" customHeight="false" outlineLevel="0" collapsed="false">
      <c r="A21" s="17" t="n">
        <v>17</v>
      </c>
      <c r="B21" s="7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7" t="str">
        <f aca="false">IF(AND($B21&lt;&gt;"",ISNUMBER($D21),COUNT($E21:$P21)=12),1,"")</f>
        <v/>
      </c>
      <c r="R21" s="20" t="str">
        <f aca="false">IF(AND($B21="",COUNT($D21:$P21)=0),"",IF($B21="","нет кода SKU — строка не считается",IF(NOT(ISNUMBER($D21)),"нет цены — строка не считается",IF(COUNT($E21:$P21)&lt;12,"заполнено "&amp;COUNT($E21:$P21)&amp;" из 12 месяцев — строка не считается",IF(SUM($E21:$P21)=0,"все 12 месяцев по нулю: CV не определён (n.a.)","в расчёте")))))</f>
        <v/>
      </c>
    </row>
    <row r="22" customFormat="false" ht="15" hidden="false" customHeight="true" outlineLevel="0" collapsed="false">
      <c r="A22" s="17" t="n">
        <v>18</v>
      </c>
      <c r="B22" s="7"/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7" t="str">
        <f aca="false">IF(AND($B22&lt;&gt;"",ISNUMBER($D22),COUNT($E22:$P22)=12),1,"")</f>
        <v/>
      </c>
      <c r="R22" s="20" t="str">
        <f aca="false">IF(AND($B22="",COUNT($D22:$P22)=0),"",IF($B22="","нет кода SKU — строка не считается",IF(NOT(ISNUMBER($D22)),"нет цены — строка не считается",IF(COUNT($E22:$P22)&lt;12,"заполнено "&amp;COUNT($E22:$P22)&amp;" из 12 месяцев — строка не считается",IF(SUM($E22:$P22)=0,"все 12 месяцев по нулю: CV не определён (n.a.)","в расчёте")))))</f>
        <v/>
      </c>
      <c r="T22" s="15" t="s">
        <v>94</v>
      </c>
      <c r="U22" s="15"/>
    </row>
    <row r="23" customFormat="false" ht="15" hidden="false" customHeight="false" outlineLevel="0" collapsed="false">
      <c r="A23" s="17" t="n">
        <v>19</v>
      </c>
      <c r="B23" s="7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7" t="str">
        <f aca="false">IF(AND($B23&lt;&gt;"",ISNUMBER($D23),COUNT($E23:$P23)=12),1,"")</f>
        <v/>
      </c>
      <c r="R23" s="20" t="str">
        <f aca="false">IF(AND($B23="",COUNT($D23:$P23)=0),"",IF($B23="","нет кода SKU — строка не считается",IF(NOT(ISNUMBER($D23)),"нет цены — строка не считается",IF(COUNT($E23:$P23)&lt;12,"заполнено "&amp;COUNT($E23:$P23)&amp;" из 12 месяцев — строка не считается",IF(SUM($E23:$P23)=0,"все 12 месяцев по нулю: CV не определён (n.a.)","в расчёте")))))</f>
        <v/>
      </c>
      <c r="T23" s="15"/>
      <c r="U23" s="15"/>
    </row>
    <row r="24" customFormat="false" ht="15" hidden="false" customHeight="false" outlineLevel="0" collapsed="false">
      <c r="A24" s="17" t="n">
        <v>20</v>
      </c>
      <c r="B24" s="7"/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7" t="str">
        <f aca="false">IF(AND($B24&lt;&gt;"",ISNUMBER($D24),COUNT($E24:$P24)=12),1,"")</f>
        <v/>
      </c>
      <c r="R24" s="20" t="str">
        <f aca="false">IF(AND($B24="",COUNT($D24:$P24)=0),"",IF($B24="","нет кода SKU — строка не считается",IF(NOT(ISNUMBER($D24)),"нет цены — строка не считается",IF(COUNT($E24:$P24)&lt;12,"заполнено "&amp;COUNT($E24:$P24)&amp;" из 12 месяцев — строка не считается",IF(SUM($E24:$P24)=0,"все 12 месяцев по нулю: CV не определён (n.a.)","в расчёте")))))</f>
        <v/>
      </c>
      <c r="T24" s="15"/>
      <c r="U24" s="15"/>
    </row>
    <row r="25" customFormat="false" ht="15" hidden="false" customHeight="false" outlineLevel="0" collapsed="false">
      <c r="A25" s="17" t="n">
        <v>21</v>
      </c>
      <c r="B25" s="7"/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7" t="str">
        <f aca="false">IF(AND($B25&lt;&gt;"",ISNUMBER($D25),COUNT($E25:$P25)=12),1,"")</f>
        <v/>
      </c>
      <c r="R25" s="20" t="str">
        <f aca="false">IF(AND($B25="",COUNT($D25:$P25)=0),"",IF($B25="","нет кода SKU — строка не считается",IF(NOT(ISNUMBER($D25)),"нет цены — строка не считается",IF(COUNT($E25:$P25)&lt;12,"заполнено "&amp;COUNT($E25:$P25)&amp;" из 12 месяцев — строка не считается",IF(SUM($E25:$P25)=0,"все 12 месяцев по нулю: CV не определён (n.a.)","в расчёте")))))</f>
        <v/>
      </c>
      <c r="T25" s="15"/>
      <c r="U25" s="15"/>
    </row>
    <row r="26" customFormat="false" ht="15" hidden="false" customHeight="false" outlineLevel="0" collapsed="false">
      <c r="A26" s="17" t="n">
        <v>22</v>
      </c>
      <c r="B26" s="7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7" t="str">
        <f aca="false">IF(AND($B26&lt;&gt;"",ISNUMBER($D26),COUNT($E26:$P26)=12),1,"")</f>
        <v/>
      </c>
      <c r="R26" s="20" t="str">
        <f aca="false">IF(AND($B26="",COUNT($D26:$P26)=0),"",IF($B26="","нет кода SKU — строка не считается",IF(NOT(ISNUMBER($D26)),"нет цены — строка не считается",IF(COUNT($E26:$P26)&lt;12,"заполнено "&amp;COUNT($E26:$P26)&amp;" из 12 месяцев — строка не считается",IF(SUM($E26:$P26)=0,"все 12 месяцев по нулю: CV не определён (n.a.)","в расчёте")))))</f>
        <v/>
      </c>
      <c r="T26" s="15"/>
      <c r="U26" s="15"/>
    </row>
    <row r="27" customFormat="false" ht="15" hidden="false" customHeight="false" outlineLevel="0" collapsed="false">
      <c r="A27" s="17" t="n">
        <v>23</v>
      </c>
      <c r="B27" s="7"/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7" t="str">
        <f aca="false">IF(AND($B27&lt;&gt;"",ISNUMBER($D27),COUNT($E27:$P27)=12),1,"")</f>
        <v/>
      </c>
      <c r="R27" s="20" t="str">
        <f aca="false">IF(AND($B27="",COUNT($D27:$P27)=0),"",IF($B27="","нет кода SKU — строка не считается",IF(NOT(ISNUMBER($D27)),"нет цены — строка не считается",IF(COUNT($E27:$P27)&lt;12,"заполнено "&amp;COUNT($E27:$P27)&amp;" из 12 месяцев — строка не считается",IF(SUM($E27:$P27)=0,"все 12 месяцев по нулю: CV не определён (n.a.)","в расчёте")))))</f>
        <v/>
      </c>
      <c r="T27" s="15"/>
      <c r="U27" s="15"/>
    </row>
    <row r="28" customFormat="false" ht="15" hidden="false" customHeight="false" outlineLevel="0" collapsed="false">
      <c r="A28" s="17" t="n">
        <v>24</v>
      </c>
      <c r="B28" s="7"/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7" t="str">
        <f aca="false">IF(AND($B28&lt;&gt;"",ISNUMBER($D28),COUNT($E28:$P28)=12),1,"")</f>
        <v/>
      </c>
      <c r="R28" s="20" t="str">
        <f aca="false">IF(AND($B28="",COUNT($D28:$P28)=0),"",IF($B28="","нет кода SKU — строка не считается",IF(NOT(ISNUMBER($D28)),"нет цены — строка не считается",IF(COUNT($E28:$P28)&lt;12,"заполнено "&amp;COUNT($E28:$P28)&amp;" из 12 месяцев — строка не считается",IF(SUM($E28:$P28)=0,"все 12 месяцев по нулю: CV не определён (n.a.)","в расчёте")))))</f>
        <v/>
      </c>
      <c r="T28" s="15"/>
      <c r="U28" s="15"/>
    </row>
    <row r="29" customFormat="false" ht="15" hidden="false" customHeight="false" outlineLevel="0" collapsed="false">
      <c r="A29" s="17" t="n">
        <v>25</v>
      </c>
      <c r="B29" s="7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7" t="str">
        <f aca="false">IF(AND($B29&lt;&gt;"",ISNUMBER($D29),COUNT($E29:$P29)=12),1,"")</f>
        <v/>
      </c>
      <c r="R29" s="20" t="str">
        <f aca="false">IF(AND($B29="",COUNT($D29:$P29)=0),"",IF($B29="","нет кода SKU — строка не считается",IF(NOT(ISNUMBER($D29)),"нет цены — строка не считается",IF(COUNT($E29:$P29)&lt;12,"заполнено "&amp;COUNT($E29:$P29)&amp;" из 12 месяцев — строка не считается",IF(SUM($E29:$P29)=0,"все 12 месяцев по нулю: CV не определён (n.a.)","в расчёте")))))</f>
        <v/>
      </c>
    </row>
    <row r="30" customFormat="false" ht="15" hidden="false" customHeight="false" outlineLevel="0" collapsed="false">
      <c r="A30" s="17" t="n">
        <v>26</v>
      </c>
      <c r="B30" s="7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7" t="str">
        <f aca="false">IF(AND($B30&lt;&gt;"",ISNUMBER($D30),COUNT($E30:$P30)=12),1,"")</f>
        <v/>
      </c>
      <c r="R30" s="20" t="str">
        <f aca="false">IF(AND($B30="",COUNT($D30:$P30)=0),"",IF($B30="","нет кода SKU — строка не считается",IF(NOT(ISNUMBER($D30)),"нет цены — строка не считается",IF(COUNT($E30:$P30)&lt;12,"заполнено "&amp;COUNT($E30:$P30)&amp;" из 12 месяцев — строка не считается",IF(SUM($E30:$P30)=0,"все 12 месяцев по нулю: CV не определён (n.a.)","в расчёте")))))</f>
        <v/>
      </c>
    </row>
    <row r="31" customFormat="false" ht="15" hidden="false" customHeight="false" outlineLevel="0" collapsed="false">
      <c r="A31" s="17" t="n">
        <v>27</v>
      </c>
      <c r="B31" s="7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7" t="str">
        <f aca="false">IF(AND($B31&lt;&gt;"",ISNUMBER($D31),COUNT($E31:$P31)=12),1,"")</f>
        <v/>
      </c>
      <c r="R31" s="20" t="str">
        <f aca="false">IF(AND($B31="",COUNT($D31:$P31)=0),"",IF($B31="","нет кода SKU — строка не считается",IF(NOT(ISNUMBER($D31)),"нет цены — строка не считается",IF(COUNT($E31:$P31)&lt;12,"заполнено "&amp;COUNT($E31:$P31)&amp;" из 12 месяцев — строка не считается",IF(SUM($E31:$P31)=0,"все 12 месяцев по нулю: CV не определён (n.a.)","в расчёте")))))</f>
        <v/>
      </c>
    </row>
    <row r="32" customFormat="false" ht="15" hidden="false" customHeight="false" outlineLevel="0" collapsed="false">
      <c r="A32" s="17" t="n">
        <v>28</v>
      </c>
      <c r="B32" s="7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7" t="str">
        <f aca="false">IF(AND($B32&lt;&gt;"",ISNUMBER($D32),COUNT($E32:$P32)=12),1,"")</f>
        <v/>
      </c>
      <c r="R32" s="20" t="str">
        <f aca="false">IF(AND($B32="",COUNT($D32:$P32)=0),"",IF($B32="","нет кода SKU — строка не считается",IF(NOT(ISNUMBER($D32)),"нет цены — строка не считается",IF(COUNT($E32:$P32)&lt;12,"заполнено "&amp;COUNT($E32:$P32)&amp;" из 12 месяцев — строка не считается",IF(SUM($E32:$P32)=0,"все 12 месяцев по нулю: CV не определён (n.a.)","в расчёте")))))</f>
        <v/>
      </c>
    </row>
    <row r="33" customFormat="false" ht="15" hidden="false" customHeight="false" outlineLevel="0" collapsed="false">
      <c r="A33" s="17" t="n">
        <v>29</v>
      </c>
      <c r="B33" s="7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7" t="str">
        <f aca="false">IF(AND($B33&lt;&gt;"",ISNUMBER($D33),COUNT($E33:$P33)=12),1,"")</f>
        <v/>
      </c>
      <c r="R33" s="20" t="str">
        <f aca="false">IF(AND($B33="",COUNT($D33:$P33)=0),"",IF($B33="","нет кода SKU — строка не считается",IF(NOT(ISNUMBER($D33)),"нет цены — строка не считается",IF(COUNT($E33:$P33)&lt;12,"заполнено "&amp;COUNT($E33:$P33)&amp;" из 12 месяцев — строка не считается",IF(SUM($E33:$P33)=0,"все 12 месяцев по нулю: CV не определён (n.a.)","в расчёте")))))</f>
        <v/>
      </c>
    </row>
    <row r="34" customFormat="false" ht="15" hidden="false" customHeight="false" outlineLevel="0" collapsed="false">
      <c r="A34" s="17" t="n">
        <v>30</v>
      </c>
      <c r="B34" s="7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7" t="str">
        <f aca="false">IF(AND($B34&lt;&gt;"",ISNUMBER($D34),COUNT($E34:$P34)=12),1,"")</f>
        <v/>
      </c>
      <c r="R34" s="20" t="str">
        <f aca="false">IF(AND($B34="",COUNT($D34:$P34)=0),"",IF($B34="","нет кода SKU — строка не считается",IF(NOT(ISNUMBER($D34)),"нет цены — строка не считается",IF(COUNT($E34:$P34)&lt;12,"заполнено "&amp;COUNT($E34:$P34)&amp;" из 12 месяцев — строка не считается",IF(SUM($E34:$P34)=0,"все 12 месяцев по нулю: CV не определён (n.a.)","в расчёте")))))</f>
        <v/>
      </c>
    </row>
  </sheetData>
  <mergeCells count="5">
    <mergeCell ref="B1:R1"/>
    <mergeCell ref="B2:R2"/>
    <mergeCell ref="T4:U4"/>
    <mergeCell ref="T15:U20"/>
    <mergeCell ref="T22:U28"/>
  </mergeCells>
  <conditionalFormatting sqref="R5:R34">
    <cfRule type="expression" priority="2" aboveAverage="0" equalAverage="0" bottom="0" percent="0" rank="0" text="" dxfId="0">
      <formula>$R5="в расчёте"</formula>
    </cfRule>
    <cfRule type="expression" priority="3" aboveAverage="0" equalAverage="0" bottom="0" percent="0" rank="0" text="" dxfId="1">
      <formula>AND($R5&lt;&gt;"",$R5&lt;&gt;"в расчёте")</formula>
    </cfRule>
  </conditionalFormatting>
  <conditionalFormatting sqref="E5:P34">
    <cfRule type="expression" priority="4" aboveAverage="0" equalAverage="0" bottom="0" percent="0" rank="0" text="" dxfId="2">
      <formula>AND(ISNUMBER(E5),E5=0)</formula>
    </cfRule>
  </conditionalFormatting>
  <dataValidations count="2">
    <dataValidation allowBlank="true" error="Введите число ≥ 0. Если данных за месяц нет, оставьте ячейку пустой — не ставьте ноль." errorStyle="stop" errorTitle="Проверьте значение" operator="greaterThanOrEqual" showDropDown="false" showErrorMessage="true" showInputMessage="false" sqref="E5:P34" type="decimal">
      <formula1>0</formula1>
      <formula2>0</formula2>
    </dataValidation>
    <dataValidation allowBlank="true" error="Цена — положительное число." errorStyle="stop" errorTitle="Проверьте цену" operator="greaterThan" showDropDown="false" showErrorMessage="true" showInputMessage="false" sqref="D5:D34" type="decimal">
      <formula1>0</formula1>
      <formula2>0</formula2>
    </dataValidation>
  </dataValidations>
  <hyperlinks>
    <hyperlink ref="T12" r:id="rId1" location="'Расчёт%20ABC-XYZ'!A1" display="→ лист «Расчёт ABC-XYZ»"/>
    <hyperlink ref="T13" r:id="rId2" location="'Матрица'!A1" display="→ лист «Матрица»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Курс «Управление запасами» · Дмитрий Фролов · урок 1.2 · SCM_1_2_ABC_XYZ_Template.xlsx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9AA0"/>
    <pageSetUpPr fitToPage="true"/>
  </sheetPr>
  <dimension ref="A1:T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9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6"/>
    <col collapsed="false" customWidth="true" hidden="false" outlineLevel="0" max="9" min="9" style="0" width="10"/>
    <col collapsed="false" customWidth="true" hidden="false" outlineLevel="0" max="11" min="10" style="0" width="9"/>
    <col collapsed="false" customWidth="true" hidden="false" outlineLevel="0" max="12" min="12" style="0" width="6"/>
    <col collapsed="false" customWidth="true" hidden="false" outlineLevel="0" max="13" min="13" style="0" width="9"/>
    <col collapsed="false" customWidth="true" hidden="false" outlineLevel="0" max="14" min="14" style="0" width="27"/>
    <col collapsed="false" customWidth="true" hidden="false" outlineLevel="0" max="15" min="15" style="0" width="7"/>
    <col collapsed="false" customWidth="true" hidden="false" outlineLevel="0" max="16" min="16" style="0" width="6"/>
    <col collapsed="false" customWidth="true" hidden="false" outlineLevel="0" max="17" min="17" style="0" width="33"/>
    <col collapsed="false" customWidth="true" hidden="false" outlineLevel="0" max="20" min="18" style="0" width="24"/>
  </cols>
  <sheetData>
    <row r="1" customFormat="false" ht="30" hidden="false" customHeight="true" outlineLevel="0" collapsed="false">
      <c r="B1" s="1" t="s">
        <v>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30" hidden="false" customHeight="true" outlineLevel="0" collapsed="false">
      <c r="B2" s="2" t="s">
        <v>96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6" hidden="false" customHeight="true" outlineLevel="0" collapsed="false"/>
    <row r="4" customFormat="false" ht="43.5" hidden="false" customHeight="true" outlineLevel="0" collapsed="false">
      <c r="A4" s="12" t="s">
        <v>57</v>
      </c>
      <c r="B4" s="12" t="s">
        <v>58</v>
      </c>
      <c r="C4" s="12" t="s">
        <v>97</v>
      </c>
      <c r="D4" s="12" t="s">
        <v>59</v>
      </c>
      <c r="E4" s="12" t="s">
        <v>98</v>
      </c>
      <c r="F4" s="12" t="s">
        <v>99</v>
      </c>
      <c r="G4" s="12" t="s">
        <v>100</v>
      </c>
      <c r="H4" s="12" t="s">
        <v>101</v>
      </c>
      <c r="I4" s="12" t="s">
        <v>102</v>
      </c>
      <c r="J4" s="12" t="s">
        <v>103</v>
      </c>
      <c r="K4" s="12" t="s">
        <v>104</v>
      </c>
      <c r="L4" s="12" t="s">
        <v>105</v>
      </c>
      <c r="M4" s="12" t="s">
        <v>106</v>
      </c>
      <c r="N4" s="12" t="s">
        <v>107</v>
      </c>
      <c r="O4" s="12" t="s">
        <v>108</v>
      </c>
      <c r="P4" s="12" t="s">
        <v>72</v>
      </c>
      <c r="Q4" s="12" t="s">
        <v>109</v>
      </c>
      <c r="R4" s="23" t="s">
        <v>110</v>
      </c>
      <c r="S4" s="23" t="s">
        <v>111</v>
      </c>
      <c r="T4" s="23" t="s">
        <v>112</v>
      </c>
    </row>
    <row r="5" customFormat="false" ht="15" hidden="false" customHeight="false" outlineLevel="0" collapsed="false">
      <c r="A5" s="24" t="str">
        <f aca="false">IF($P5=1,'Ввод данных'!$B5,"")</f>
        <v>SKU-001</v>
      </c>
      <c r="B5" s="20" t="str">
        <f aca="false">IF($P5=1,'Ввод данных'!$C5,"")</f>
        <v>Товар А (бестселлер)</v>
      </c>
      <c r="C5" s="25" t="n">
        <f aca="false">IF($P5=1,SUM('Ввод данных'!$E5:$P5),"")</f>
        <v>1480</v>
      </c>
      <c r="D5" s="25" t="n">
        <f aca="false">IF($P5=1,'Ввод данных'!$D5,"")</f>
        <v>1500</v>
      </c>
      <c r="E5" s="25" t="n">
        <f aca="false">IF($P5=1,$C5*$D5,"")</f>
        <v>2220000</v>
      </c>
      <c r="F5" s="26" t="n">
        <f aca="false">IF(AND($P5=1,'Расчёт ABC-XYZ'!$E$35&gt;0),$E5/'Расчёт ABC-XYZ'!$E$35*100,"")</f>
        <v>69.6099335256491</v>
      </c>
      <c r="G5" s="26" t="n">
        <f aca="false">IF(AND($P5=1,'Расчёт ABC-XYZ'!$E$35&gt;0),SUMIF('Расчёт ABC-XYZ'!$E$5:$E$34,"&gt;="&amp;$E5)/'Расчёт ABC-XYZ'!$E$35*100,"")</f>
        <v>69.6099335256491</v>
      </c>
      <c r="H5" s="27" t="str">
        <f aca="false">IF($G5="","",IF($G5&lt;='Расчёт ABC-XYZ'!$C$39,"A",IF($G5&lt;='Расчёт ABC-XYZ'!$C$40,"B","C")))</f>
        <v>A</v>
      </c>
      <c r="I5" s="28" t="n">
        <f aca="false">IF($P5=1,$C5/12,"")</f>
        <v>123.333333333333</v>
      </c>
      <c r="J5" s="28" t="n">
        <f aca="false">IF($P5=1,STDEVP('Ввод данных'!$E5:$P5),"")</f>
        <v>4.87054639873415</v>
      </c>
      <c r="K5" s="26" t="n">
        <f aca="false">IF($P5=1,IF($I5&gt;0,$J5/$I5*100,"n.a."),"")</f>
        <v>3.94909167464931</v>
      </c>
      <c r="L5" s="27" t="str">
        <f aca="false">IF($K5="","",IF(ISNUMBER($K5),IF($K5&lt;='Расчёт ABC-XYZ'!$C$41,"X",IF($K5&lt;='Расчёт ABC-XYZ'!$C$42,"Y","Z")),"n.a."))</f>
        <v>X</v>
      </c>
      <c r="M5" s="29" t="str">
        <f aca="false">IF(OR($H5="",$L5=""),"",IF($L5="n.a.","n.a.",$H5&amp;$L5))</f>
        <v>AX</v>
      </c>
      <c r="N5" s="14" t="str">
        <f aca="false">IF(OR($M5="",$M5="n.a."),"",IFERROR(VLOOKUP($M5,Справочник!$B$6:$D$14,2,FALSE()),""))</f>
        <v>Контроль доступности</v>
      </c>
      <c r="O5" s="30" t="n">
        <f aca="false">IF($P5=1,RANK($E5,'Расчёт ABC-XYZ'!$E$5:$E$34)+COUNTIF($E$5:$E5,$E5)-1,"")</f>
        <v>1</v>
      </c>
      <c r="P5" s="17" t="n">
        <f aca="false">IF('Ввод данных'!$Q5=1,1,"")</f>
        <v>1</v>
      </c>
      <c r="Q5" s="31" t="str">
        <f aca="false">IF($P5&lt;&gt;1,"",IF($I5&lt;=0,"μ = 0: CV не определён — n.a.","σ / μ = "&amp;ROUND($J5,4)&amp;" / "&amp;ROUND($I5,4)&amp;" = "&amp;ROUND($K5/100,5)&amp;" = "&amp;ROUND($K5,3)&amp;" %"))</f>
        <v>σ / μ = 4.8705 / 123.3333 = 0.03949 = 3.949 %</v>
      </c>
      <c r="R5" s="32" t="str">
        <f aca="false">IF($M5="AX",$A5,"")</f>
        <v>SKU-001</v>
      </c>
      <c r="S5" s="32" t="str">
        <f aca="false">IF($L5="Y",$A5,"")</f>
        <v/>
      </c>
      <c r="T5" s="32" t="str">
        <f aca="false">IF($M5="CZ",$A5,"")</f>
        <v/>
      </c>
    </row>
    <row r="6" customFormat="false" ht="15" hidden="false" customHeight="false" outlineLevel="0" collapsed="false">
      <c r="A6" s="24" t="str">
        <f aca="false">IF($P6=1,'Ввод данных'!$B6,"")</f>
        <v>SKU-002</v>
      </c>
      <c r="B6" s="20" t="str">
        <f aca="false">IF($P6=1,'Ввод данных'!$C6,"")</f>
        <v>Товар Б (сезонный)</v>
      </c>
      <c r="C6" s="25" t="n">
        <f aca="false">IF($P6=1,SUM('Ввод данных'!$E6:$P6),"")</f>
        <v>870</v>
      </c>
      <c r="D6" s="25" t="n">
        <f aca="false">IF($P6=1,'Ввод данных'!$D6,"")</f>
        <v>800</v>
      </c>
      <c r="E6" s="25" t="n">
        <f aca="false">IF($P6=1,$C6*$D6,"")</f>
        <v>696000</v>
      </c>
      <c r="F6" s="26" t="n">
        <f aca="false">IF(AND($P6=1,'Расчёт ABC-XYZ'!$E$35&gt;0),$E6/'Расчёт ABC-XYZ'!$E$35*100,"")</f>
        <v>21.8236548350684</v>
      </c>
      <c r="G6" s="26" t="n">
        <f aca="false">IF(AND($P6=1,'Расчёт ABC-XYZ'!$E$35&gt;0),SUMIF('Расчёт ABC-XYZ'!$E$5:$E$34,"&gt;="&amp;$E6)/'Расчёт ABC-XYZ'!$E$35*100,"")</f>
        <v>91.4335883607174</v>
      </c>
      <c r="H6" s="27" t="str">
        <f aca="false">IF($G6="","",IF($G6&lt;='Расчёт ABC-XYZ'!$C$39,"A",IF($G6&lt;='Расчёт ABC-XYZ'!$C$40,"B","C")))</f>
        <v>B</v>
      </c>
      <c r="I6" s="28" t="n">
        <f aca="false">IF($P6=1,$C6/12,"")</f>
        <v>72.5</v>
      </c>
      <c r="J6" s="28" t="n">
        <f aca="false">IF($P6=1,STDEVP('Ввод данных'!$E6:$P6),"")</f>
        <v>19.737865470545</v>
      </c>
      <c r="K6" s="26" t="n">
        <f aca="false">IF($P6=1,IF($I6&gt;0,$J6/$I6*100,"n.a."),"")</f>
        <v>27.224642028338</v>
      </c>
      <c r="L6" s="27" t="str">
        <f aca="false">IF($K6="","",IF(ISNUMBER($K6),IF($K6&lt;='Расчёт ABC-XYZ'!$C$41,"X",IF($K6&lt;='Расчёт ABC-XYZ'!$C$42,"Y","Z")),"n.a."))</f>
        <v>Y</v>
      </c>
      <c r="M6" s="29" t="str">
        <f aca="false">IF(OR($H6="",$L6=""),"",IF($L6="n.a.","n.a.",$H6&amp;$L6))</f>
        <v>BY</v>
      </c>
      <c r="N6" s="14" t="str">
        <f aca="false">IF(OR($M6="",$M6="n.a."),"",IFERROR(VLOOKUP($M6,Справочник!$B$6:$D$14,2,FALSE()),""))</f>
        <v>Проверить структуру спроса</v>
      </c>
      <c r="O6" s="30" t="n">
        <f aca="false">IF($P6=1,RANK($E6,'Расчёт ABC-XYZ'!$E$5:$E$34)+COUNTIF($E$5:$E6,$E6)-1,"")</f>
        <v>2</v>
      </c>
      <c r="P6" s="17" t="n">
        <f aca="false">IF('Ввод данных'!$Q6=1,1,"")</f>
        <v>1</v>
      </c>
      <c r="Q6" s="31" t="str">
        <f aca="false">IF($P6&lt;&gt;1,"",IF($I6&lt;=0,"μ = 0: CV не определён — n.a.","σ / μ = "&amp;ROUND($J6,4)&amp;" / "&amp;ROUND($I6,4)&amp;" = "&amp;ROUND($K6/100,5)&amp;" = "&amp;ROUND($K6,3)&amp;" %"))</f>
        <v>σ / μ = 19.7379 / 72.5 = 0.27225 = 27.225 %</v>
      </c>
      <c r="R6" s="32" t="str">
        <f aca="false">$R5&amp;IF($M6="AX",IF($R5="","",", ")&amp;$A6,"")</f>
        <v>SKU-001</v>
      </c>
      <c r="S6" s="32" t="str">
        <f aca="false">$S5&amp;IF($L6="Y",IF($S5="","",", ")&amp;$A6,"")</f>
        <v>SKU-002</v>
      </c>
      <c r="T6" s="32" t="str">
        <f aca="false">$T5&amp;IF($M6="CZ",IF($T5="","",", ")&amp;$A6,"")</f>
        <v/>
      </c>
    </row>
    <row r="7" customFormat="false" ht="15" hidden="false" customHeight="false" outlineLevel="0" collapsed="false">
      <c r="A7" s="24" t="str">
        <f aca="false">IF($P7=1,'Ввод данных'!$B7,"")</f>
        <v>SKU-003</v>
      </c>
      <c r="B7" s="20" t="str">
        <f aca="false">IF($P7=1,'Ввод данных'!$C7,"")</f>
        <v>Товар В (средний)</v>
      </c>
      <c r="C7" s="25" t="n">
        <f aca="false">IF($P7=1,SUM('Ввод данных'!$E7:$P7),"")</f>
        <v>378</v>
      </c>
      <c r="D7" s="25" t="n">
        <f aca="false">IF($P7=1,'Ввод данных'!$D7,"")</f>
        <v>500</v>
      </c>
      <c r="E7" s="25" t="n">
        <f aca="false">IF($P7=1,$C7*$D7,"")</f>
        <v>189000</v>
      </c>
      <c r="F7" s="26" t="n">
        <f aca="false">IF(AND($P7=1,'Расчёт ABC-XYZ'!$E$35&gt;0),$E7/'Расчёт ABC-XYZ'!$E$35*100,"")</f>
        <v>5.92625109745391</v>
      </c>
      <c r="G7" s="26" t="n">
        <f aca="false">IF(AND($P7=1,'Расчёт ABC-XYZ'!$E$35&gt;0),SUMIF('Расчёт ABC-XYZ'!$E$5:$E$34,"&gt;="&amp;$E7)/'Расчёт ABC-XYZ'!$E$35*100,"")</f>
        <v>97.3598394581713</v>
      </c>
      <c r="H7" s="27" t="str">
        <f aca="false">IF($G7="","",IF($G7&lt;='Расчёт ABC-XYZ'!$C$39,"A",IF($G7&lt;='Расчёт ABC-XYZ'!$C$40,"B","C")))</f>
        <v>C</v>
      </c>
      <c r="I7" s="28" t="n">
        <f aca="false">IF($P7=1,$C7/12,"")</f>
        <v>31.5</v>
      </c>
      <c r="J7" s="28" t="n">
        <f aca="false">IF($P7=1,STDEVP('Ввод данных'!$E7:$P7),"")</f>
        <v>1.97905701450632</v>
      </c>
      <c r="K7" s="26" t="n">
        <f aca="false">IF($P7=1,IF($I7&gt;0,$J7/$I7*100,"n.a."),"")</f>
        <v>6.28272068097244</v>
      </c>
      <c r="L7" s="27" t="str">
        <f aca="false">IF($K7="","",IF(ISNUMBER($K7),IF($K7&lt;='Расчёт ABC-XYZ'!$C$41,"X",IF($K7&lt;='Расчёт ABC-XYZ'!$C$42,"Y","Z")),"n.a."))</f>
        <v>X</v>
      </c>
      <c r="M7" s="29" t="str">
        <f aca="false">IF(OR($H7="",$L7=""),"",IF($L7="n.a.","n.a.",$H7&amp;$L7))</f>
        <v>CX</v>
      </c>
      <c r="N7" s="14" t="str">
        <f aca="false">IF(OR($M7="",$M7="n.a."),"",IFERROR(VLOOKUP($M7,Справочник!$B$6:$D$14,2,FALSE()),""))</f>
        <v>Проверить экономику</v>
      </c>
      <c r="O7" s="30" t="n">
        <f aca="false">IF($P7=1,RANK($E7,'Расчёт ABC-XYZ'!$E$5:$E$34)+COUNTIF($E$5:$E7,$E7)-1,"")</f>
        <v>3</v>
      </c>
      <c r="P7" s="17" t="n">
        <f aca="false">IF('Ввод данных'!$Q7=1,1,"")</f>
        <v>1</v>
      </c>
      <c r="Q7" s="31" t="str">
        <f aca="false">IF($P7&lt;&gt;1,"",IF($I7&lt;=0,"μ = 0: CV не определён — n.a.","σ / μ = "&amp;ROUND($J7,4)&amp;" / "&amp;ROUND($I7,4)&amp;" = "&amp;ROUND($K7/100,5)&amp;" = "&amp;ROUND($K7,3)&amp;" %"))</f>
        <v>σ / μ = 1.9791 / 31.5 = 0.06283 = 6.283 %</v>
      </c>
      <c r="R7" s="32" t="str">
        <f aca="false">$R6&amp;IF($M7="AX",IF($R6="","",", ")&amp;$A7,"")</f>
        <v>SKU-001</v>
      </c>
      <c r="S7" s="32" t="str">
        <f aca="false">$S6&amp;IF($L7="Y",IF($S6="","",", ")&amp;$A7,"")</f>
        <v>SKU-002</v>
      </c>
      <c r="T7" s="32" t="str">
        <f aca="false">$T6&amp;IF($M7="CZ",IF($T6="","",", ")&amp;$A7,"")</f>
        <v/>
      </c>
    </row>
    <row r="8" customFormat="false" ht="15" hidden="false" customHeight="false" outlineLevel="0" collapsed="false">
      <c r="A8" s="24" t="str">
        <f aca="false">IF($P8=1,'Ввод данных'!$B8,"")</f>
        <v>SKU-004</v>
      </c>
      <c r="B8" s="20" t="str">
        <f aca="false">IF($P8=1,'Ввод данных'!$C8,"")</f>
        <v>Товар Г (хаотичный)</v>
      </c>
      <c r="C8" s="25" t="n">
        <f aca="false">IF($P8=1,SUM('Ввод данных'!$E8:$P8),"")</f>
        <v>270</v>
      </c>
      <c r="D8" s="25" t="n">
        <f aca="false">IF($P8=1,'Ввод данных'!$D8,"")</f>
        <v>300</v>
      </c>
      <c r="E8" s="25" t="n">
        <f aca="false">IF($P8=1,$C8*$D8,"")</f>
        <v>81000</v>
      </c>
      <c r="F8" s="26" t="n">
        <f aca="false">IF(AND($P8=1,'Расчёт ABC-XYZ'!$E$35&gt;0),$E8/'Расчёт ABC-XYZ'!$E$35*100,"")</f>
        <v>2.53982189890882</v>
      </c>
      <c r="G8" s="26" t="n">
        <f aca="false">IF(AND($P8=1,'Расчёт ABC-XYZ'!$E$35&gt;0),SUMIF('Расчёт ABC-XYZ'!$E$5:$E$34,"&gt;="&amp;$E8)/'Расчёт ABC-XYZ'!$E$35*100,"")</f>
        <v>99.8996613570802</v>
      </c>
      <c r="H8" s="27" t="str">
        <f aca="false">IF($G8="","",IF($G8&lt;='Расчёт ABC-XYZ'!$C$39,"A",IF($G8&lt;='Расчёт ABC-XYZ'!$C$40,"B","C")))</f>
        <v>C</v>
      </c>
      <c r="I8" s="28" t="n">
        <f aca="false">IF($P8=1,$C8/12,"")</f>
        <v>22.5</v>
      </c>
      <c r="J8" s="28" t="n">
        <f aca="false">IF($P8=1,STDEVP('Ввод данных'!$E8:$P8),"")</f>
        <v>16.306951482931</v>
      </c>
      <c r="K8" s="26" t="n">
        <f aca="false">IF($P8=1,IF($I8&gt;0,$J8/$I8*100,"n.a."),"")</f>
        <v>72.4753399241379</v>
      </c>
      <c r="L8" s="27" t="str">
        <f aca="false">IF($K8="","",IF(ISNUMBER($K8),IF($K8&lt;='Расчёт ABC-XYZ'!$C$41,"X",IF($K8&lt;='Расчёт ABC-XYZ'!$C$42,"Y","Z")),"n.a."))</f>
        <v>Z</v>
      </c>
      <c r="M8" s="29" t="str">
        <f aca="false">IF(OR($H8="",$L8=""),"",IF($L8="n.a.","n.a.",$H8&amp;$L8))</f>
        <v>CZ</v>
      </c>
      <c r="N8" s="14" t="str">
        <f aca="false">IF(OR($M8="",$M8="n.a."),"",IFERROR(VLOOKUP($M8,Справочник!$B$6:$D$14,2,FALSE()),""))</f>
        <v>Проверить критичность</v>
      </c>
      <c r="O8" s="30" t="n">
        <f aca="false">IF($P8=1,RANK($E8,'Расчёт ABC-XYZ'!$E$5:$E$34)+COUNTIF($E$5:$E8,$E8)-1,"")</f>
        <v>4</v>
      </c>
      <c r="P8" s="17" t="n">
        <f aca="false">IF('Ввод данных'!$Q8=1,1,"")</f>
        <v>1</v>
      </c>
      <c r="Q8" s="31" t="str">
        <f aca="false">IF($P8&lt;&gt;1,"",IF($I8&lt;=0,"μ = 0: CV не определён — n.a.","σ / μ = "&amp;ROUND($J8,4)&amp;" / "&amp;ROUND($I8,4)&amp;" = "&amp;ROUND($K8/100,5)&amp;" = "&amp;ROUND($K8,3)&amp;" %"))</f>
        <v>σ / μ = 16.307 / 22.5 = 0.72475 = 72.475 %</v>
      </c>
      <c r="R8" s="32" t="str">
        <f aca="false">$R7&amp;IF($M8="AX",IF($R7="","",", ")&amp;$A8,"")</f>
        <v>SKU-001</v>
      </c>
      <c r="S8" s="32" t="str">
        <f aca="false">$S7&amp;IF($L8="Y",IF($S7="","",", ")&amp;$A8,"")</f>
        <v>SKU-002</v>
      </c>
      <c r="T8" s="32" t="str">
        <f aca="false">$T7&amp;IF($M8="CZ",IF($T7="","",", ")&amp;$A8,"")</f>
        <v>SKU-004</v>
      </c>
    </row>
    <row r="9" customFormat="false" ht="15" hidden="false" customHeight="false" outlineLevel="0" collapsed="false">
      <c r="A9" s="24" t="str">
        <f aca="false">IF($P9=1,'Ввод данных'!$B9,"")</f>
        <v>SKU-005</v>
      </c>
      <c r="B9" s="20" t="str">
        <f aca="false">IF($P9=1,'Ввод данных'!$C9,"")</f>
        <v>Товар Д (неликвид)</v>
      </c>
      <c r="C9" s="25" t="n">
        <f aca="false">IF($P9=1,SUM('Ввод данных'!$E9:$P9),"")</f>
        <v>16</v>
      </c>
      <c r="D9" s="25" t="n">
        <f aca="false">IF($P9=1,'Ввод данных'!$D9,"")</f>
        <v>200</v>
      </c>
      <c r="E9" s="25" t="n">
        <f aca="false">IF($P9=1,$C9*$D9,"")</f>
        <v>3200</v>
      </c>
      <c r="F9" s="26" t="n">
        <f aca="false">IF(AND($P9=1,'Расчёт ABC-XYZ'!$E$35&gt;0),$E9/'Расчёт ABC-XYZ'!$E$35*100,"")</f>
        <v>0.100338642919855</v>
      </c>
      <c r="G9" s="26" t="n">
        <f aca="false">IF(AND($P9=1,'Расчёт ABC-XYZ'!$E$35&gt;0),SUMIF('Расчёт ABC-XYZ'!$E$5:$E$34,"&gt;="&amp;$E9)/'Расчёт ABC-XYZ'!$E$35*100,"")</f>
        <v>100</v>
      </c>
      <c r="H9" s="27" t="str">
        <f aca="false">IF($G9="","",IF($G9&lt;='Расчёт ABC-XYZ'!$C$39,"A",IF($G9&lt;='Расчёт ABC-XYZ'!$C$40,"B","C")))</f>
        <v>C</v>
      </c>
      <c r="I9" s="28" t="n">
        <f aca="false">IF($P9=1,$C9/12,"")</f>
        <v>1.33333333333333</v>
      </c>
      <c r="J9" s="28" t="n">
        <f aca="false">IF($P9=1,STDEVP('Ввод данных'!$E9:$P9),"")</f>
        <v>1.02740233382816</v>
      </c>
      <c r="K9" s="26" t="n">
        <f aca="false">IF($P9=1,IF($I9&gt;0,$J9/$I9*100,"n.a."),"")</f>
        <v>77.0551750371122</v>
      </c>
      <c r="L9" s="27" t="str">
        <f aca="false">IF($K9="","",IF(ISNUMBER($K9),IF($K9&lt;='Расчёт ABC-XYZ'!$C$41,"X",IF($K9&lt;='Расчёт ABC-XYZ'!$C$42,"Y","Z")),"n.a."))</f>
        <v>Z</v>
      </c>
      <c r="M9" s="29" t="str">
        <f aca="false">IF(OR($H9="",$L9=""),"",IF($L9="n.a.","n.a.",$H9&amp;$L9))</f>
        <v>CZ</v>
      </c>
      <c r="N9" s="14" t="str">
        <f aca="false">IF(OR($M9="",$M9="n.a."),"",IFERROR(VLOOKUP($M9,Справочник!$B$6:$D$14,2,FALSE()),""))</f>
        <v>Проверить критичность</v>
      </c>
      <c r="O9" s="30" t="n">
        <f aca="false">IF($P9=1,RANK($E9,'Расчёт ABC-XYZ'!$E$5:$E$34)+COUNTIF($E$5:$E9,$E9)-1,"")</f>
        <v>5</v>
      </c>
      <c r="P9" s="17" t="n">
        <f aca="false">IF('Ввод данных'!$Q9=1,1,"")</f>
        <v>1</v>
      </c>
      <c r="Q9" s="31" t="str">
        <f aca="false">IF($P9&lt;&gt;1,"",IF($I9&lt;=0,"μ = 0: CV не определён — n.a.","σ / μ = "&amp;ROUND($J9,4)&amp;" / "&amp;ROUND($I9,4)&amp;" = "&amp;ROUND($K9/100,5)&amp;" = "&amp;ROUND($K9,3)&amp;" %"))</f>
        <v>σ / μ = 1.0274 / 1.3333 = 0.77055 = 77.055 %</v>
      </c>
      <c r="R9" s="32" t="str">
        <f aca="false">$R8&amp;IF($M9="AX",IF($R8="","",", ")&amp;$A9,"")</f>
        <v>SKU-001</v>
      </c>
      <c r="S9" s="32" t="str">
        <f aca="false">$S8&amp;IF($L9="Y",IF($S8="","",", ")&amp;$A9,"")</f>
        <v>SKU-002</v>
      </c>
      <c r="T9" s="32" t="str">
        <f aca="false">$T8&amp;IF($M9="CZ",IF($T8="","",", ")&amp;$A9,"")</f>
        <v>SKU-004, SKU-005</v>
      </c>
    </row>
    <row r="10" customFormat="false" ht="15" hidden="false" customHeight="false" outlineLevel="0" collapsed="false">
      <c r="A10" s="24" t="str">
        <f aca="false">IF($P10=1,'Ввод данных'!$B10,"")</f>
        <v/>
      </c>
      <c r="B10" s="20" t="str">
        <f aca="false">IF($P10=1,'Ввод данных'!$C10,"")</f>
        <v/>
      </c>
      <c r="C10" s="25" t="str">
        <f aca="false">IF($P10=1,SUM('Ввод данных'!$E10:$P10),"")</f>
        <v/>
      </c>
      <c r="D10" s="25" t="str">
        <f aca="false">IF($P10=1,'Ввод данных'!$D10,"")</f>
        <v/>
      </c>
      <c r="E10" s="25" t="str">
        <f aca="false">IF($P10=1,$C10*$D10,"")</f>
        <v/>
      </c>
      <c r="F10" s="26" t="str">
        <f aca="false">IF(AND($P10=1,'Расчёт ABC-XYZ'!$E$35&gt;0),$E10/'Расчёт ABC-XYZ'!$E$35*100,"")</f>
        <v/>
      </c>
      <c r="G10" s="26" t="str">
        <f aca="false">IF(AND($P10=1,'Расчёт ABC-XYZ'!$E$35&gt;0),SUMIF('Расчёт ABC-XYZ'!$E$5:$E$34,"&gt;="&amp;$E10)/'Расчёт ABC-XYZ'!$E$35*100,"")</f>
        <v/>
      </c>
      <c r="H10" s="27" t="str">
        <f aca="false">IF($G10="","",IF($G10&lt;='Расчёт ABC-XYZ'!$C$39,"A",IF($G10&lt;='Расчёт ABC-XYZ'!$C$40,"B","C")))</f>
        <v/>
      </c>
      <c r="I10" s="28" t="str">
        <f aca="false">IF($P10=1,$C10/12,"")</f>
        <v/>
      </c>
      <c r="J10" s="28" t="str">
        <f aca="false">IF($P10=1,STDEVP('Ввод данных'!$E10:$P10),"")</f>
        <v/>
      </c>
      <c r="K10" s="26" t="str">
        <f aca="false">IF($P10=1,IF($I10&gt;0,$J10/$I10*100,"n.a."),"")</f>
        <v/>
      </c>
      <c r="L10" s="27" t="str">
        <f aca="false">IF($K10="","",IF(ISNUMBER($K10),IF($K10&lt;='Расчёт ABC-XYZ'!$C$41,"X",IF($K10&lt;='Расчёт ABC-XYZ'!$C$42,"Y","Z")),"n.a."))</f>
        <v/>
      </c>
      <c r="M10" s="29" t="str">
        <f aca="false">IF(OR($H10="",$L10=""),"",IF($L10="n.a.","n.a.",$H10&amp;$L10))</f>
        <v/>
      </c>
      <c r="N10" s="14" t="str">
        <f aca="false">IF(OR($M10="",$M10="n.a."),"",IFERROR(VLOOKUP($M10,Справочник!$B$6:$D$14,2,FALSE()),""))</f>
        <v/>
      </c>
      <c r="O10" s="30" t="str">
        <f aca="false">IF($P10=1,RANK($E10,'Расчёт ABC-XYZ'!$E$5:$E$34)+COUNTIF($E$5:$E10,$E10)-1,"")</f>
        <v/>
      </c>
      <c r="P10" s="17" t="str">
        <f aca="false">IF('Ввод данных'!$Q10=1,1,"")</f>
        <v/>
      </c>
      <c r="Q10" s="31" t="str">
        <f aca="false">IF($P10&lt;&gt;1,"",IF($I10&lt;=0,"μ = 0: CV не определён — n.a.","σ / μ = "&amp;ROUND($J10,4)&amp;" / "&amp;ROUND($I10,4)&amp;" = "&amp;ROUND($K10/100,5)&amp;" = "&amp;ROUND($K10,3)&amp;" %"))</f>
        <v/>
      </c>
      <c r="R10" s="32" t="str">
        <f aca="false">$R9&amp;IF($M10="AX",IF($R9="","",", ")&amp;$A10,"")</f>
        <v>SKU-001</v>
      </c>
      <c r="S10" s="32" t="str">
        <f aca="false">$S9&amp;IF($L10="Y",IF($S9="","",", ")&amp;$A10,"")</f>
        <v>SKU-002</v>
      </c>
      <c r="T10" s="32" t="str">
        <f aca="false">$T9&amp;IF($M10="CZ",IF($T9="","",", ")&amp;$A10,"")</f>
        <v>SKU-004, SKU-005</v>
      </c>
    </row>
    <row r="11" customFormat="false" ht="15" hidden="false" customHeight="false" outlineLevel="0" collapsed="false">
      <c r="A11" s="24" t="str">
        <f aca="false">IF($P11=1,'Ввод данных'!$B11,"")</f>
        <v/>
      </c>
      <c r="B11" s="20" t="str">
        <f aca="false">IF($P11=1,'Ввод данных'!$C11,"")</f>
        <v/>
      </c>
      <c r="C11" s="25" t="str">
        <f aca="false">IF($P11=1,SUM('Ввод данных'!$E11:$P11),"")</f>
        <v/>
      </c>
      <c r="D11" s="25" t="str">
        <f aca="false">IF($P11=1,'Ввод данных'!$D11,"")</f>
        <v/>
      </c>
      <c r="E11" s="25" t="str">
        <f aca="false">IF($P11=1,$C11*$D11,"")</f>
        <v/>
      </c>
      <c r="F11" s="26" t="str">
        <f aca="false">IF(AND($P11=1,'Расчёт ABC-XYZ'!$E$35&gt;0),$E11/'Расчёт ABC-XYZ'!$E$35*100,"")</f>
        <v/>
      </c>
      <c r="G11" s="26" t="str">
        <f aca="false">IF(AND($P11=1,'Расчёт ABC-XYZ'!$E$35&gt;0),SUMIF('Расчёт ABC-XYZ'!$E$5:$E$34,"&gt;="&amp;$E11)/'Расчёт ABC-XYZ'!$E$35*100,"")</f>
        <v/>
      </c>
      <c r="H11" s="27" t="str">
        <f aca="false">IF($G11="","",IF($G11&lt;='Расчёт ABC-XYZ'!$C$39,"A",IF($G11&lt;='Расчёт ABC-XYZ'!$C$40,"B","C")))</f>
        <v/>
      </c>
      <c r="I11" s="28" t="str">
        <f aca="false">IF($P11=1,$C11/12,"")</f>
        <v/>
      </c>
      <c r="J11" s="28" t="str">
        <f aca="false">IF($P11=1,STDEVP('Ввод данных'!$E11:$P11),"")</f>
        <v/>
      </c>
      <c r="K11" s="26" t="str">
        <f aca="false">IF($P11=1,IF($I11&gt;0,$J11/$I11*100,"n.a."),"")</f>
        <v/>
      </c>
      <c r="L11" s="27" t="str">
        <f aca="false">IF($K11="","",IF(ISNUMBER($K11),IF($K11&lt;='Расчёт ABC-XYZ'!$C$41,"X",IF($K11&lt;='Расчёт ABC-XYZ'!$C$42,"Y","Z")),"n.a."))</f>
        <v/>
      </c>
      <c r="M11" s="29" t="str">
        <f aca="false">IF(OR($H11="",$L11=""),"",IF($L11="n.a.","n.a.",$H11&amp;$L11))</f>
        <v/>
      </c>
      <c r="N11" s="14" t="str">
        <f aca="false">IF(OR($M11="",$M11="n.a."),"",IFERROR(VLOOKUP($M11,Справочник!$B$6:$D$14,2,FALSE()),""))</f>
        <v/>
      </c>
      <c r="O11" s="30" t="str">
        <f aca="false">IF($P11=1,RANK($E11,'Расчёт ABC-XYZ'!$E$5:$E$34)+COUNTIF($E$5:$E11,$E11)-1,"")</f>
        <v/>
      </c>
      <c r="P11" s="17" t="str">
        <f aca="false">IF('Ввод данных'!$Q11=1,1,"")</f>
        <v/>
      </c>
      <c r="Q11" s="31" t="str">
        <f aca="false">IF($P11&lt;&gt;1,"",IF($I11&lt;=0,"μ = 0: CV не определён — n.a.","σ / μ = "&amp;ROUND($J11,4)&amp;" / "&amp;ROUND($I11,4)&amp;" = "&amp;ROUND($K11/100,5)&amp;" = "&amp;ROUND($K11,3)&amp;" %"))</f>
        <v/>
      </c>
      <c r="R11" s="32" t="str">
        <f aca="false">$R10&amp;IF($M11="AX",IF($R10="","",", ")&amp;$A11,"")</f>
        <v>SKU-001</v>
      </c>
      <c r="S11" s="32" t="str">
        <f aca="false">$S10&amp;IF($L11="Y",IF($S10="","",", ")&amp;$A11,"")</f>
        <v>SKU-002</v>
      </c>
      <c r="T11" s="32" t="str">
        <f aca="false">$T10&amp;IF($M11="CZ",IF($T10="","",", ")&amp;$A11,"")</f>
        <v>SKU-004, SKU-005</v>
      </c>
    </row>
    <row r="12" customFormat="false" ht="15" hidden="false" customHeight="false" outlineLevel="0" collapsed="false">
      <c r="A12" s="24" t="str">
        <f aca="false">IF($P12=1,'Ввод данных'!$B12,"")</f>
        <v/>
      </c>
      <c r="B12" s="20" t="str">
        <f aca="false">IF($P12=1,'Ввод данных'!$C12,"")</f>
        <v/>
      </c>
      <c r="C12" s="25" t="str">
        <f aca="false">IF($P12=1,SUM('Ввод данных'!$E12:$P12),"")</f>
        <v/>
      </c>
      <c r="D12" s="25" t="str">
        <f aca="false">IF($P12=1,'Ввод данных'!$D12,"")</f>
        <v/>
      </c>
      <c r="E12" s="25" t="str">
        <f aca="false">IF($P12=1,$C12*$D12,"")</f>
        <v/>
      </c>
      <c r="F12" s="26" t="str">
        <f aca="false">IF(AND($P12=1,'Расчёт ABC-XYZ'!$E$35&gt;0),$E12/'Расчёт ABC-XYZ'!$E$35*100,"")</f>
        <v/>
      </c>
      <c r="G12" s="26" t="str">
        <f aca="false">IF(AND($P12=1,'Расчёт ABC-XYZ'!$E$35&gt;0),SUMIF('Расчёт ABC-XYZ'!$E$5:$E$34,"&gt;="&amp;$E12)/'Расчёт ABC-XYZ'!$E$35*100,"")</f>
        <v/>
      </c>
      <c r="H12" s="27" t="str">
        <f aca="false">IF($G12="","",IF($G12&lt;='Расчёт ABC-XYZ'!$C$39,"A",IF($G12&lt;='Расчёт ABC-XYZ'!$C$40,"B","C")))</f>
        <v/>
      </c>
      <c r="I12" s="28" t="str">
        <f aca="false">IF($P12=1,$C12/12,"")</f>
        <v/>
      </c>
      <c r="J12" s="28" t="str">
        <f aca="false">IF($P12=1,STDEVP('Ввод данных'!$E12:$P12),"")</f>
        <v/>
      </c>
      <c r="K12" s="26" t="str">
        <f aca="false">IF($P12=1,IF($I12&gt;0,$J12/$I12*100,"n.a."),"")</f>
        <v/>
      </c>
      <c r="L12" s="27" t="str">
        <f aca="false">IF($K12="","",IF(ISNUMBER($K12),IF($K12&lt;='Расчёт ABC-XYZ'!$C$41,"X",IF($K12&lt;='Расчёт ABC-XYZ'!$C$42,"Y","Z")),"n.a."))</f>
        <v/>
      </c>
      <c r="M12" s="29" t="str">
        <f aca="false">IF(OR($H12="",$L12=""),"",IF($L12="n.a.","n.a.",$H12&amp;$L12))</f>
        <v/>
      </c>
      <c r="N12" s="14" t="str">
        <f aca="false">IF(OR($M12="",$M12="n.a."),"",IFERROR(VLOOKUP($M12,Справочник!$B$6:$D$14,2,FALSE()),""))</f>
        <v/>
      </c>
      <c r="O12" s="30" t="str">
        <f aca="false">IF($P12=1,RANK($E12,'Расчёт ABC-XYZ'!$E$5:$E$34)+COUNTIF($E$5:$E12,$E12)-1,"")</f>
        <v/>
      </c>
      <c r="P12" s="17" t="str">
        <f aca="false">IF('Ввод данных'!$Q12=1,1,"")</f>
        <v/>
      </c>
      <c r="Q12" s="31" t="str">
        <f aca="false">IF($P12&lt;&gt;1,"",IF($I12&lt;=0,"μ = 0: CV не определён — n.a.","σ / μ = "&amp;ROUND($J12,4)&amp;" / "&amp;ROUND($I12,4)&amp;" = "&amp;ROUND($K12/100,5)&amp;" = "&amp;ROUND($K12,3)&amp;" %"))</f>
        <v/>
      </c>
      <c r="R12" s="32" t="str">
        <f aca="false">$R11&amp;IF($M12="AX",IF($R11="","",", ")&amp;$A12,"")</f>
        <v>SKU-001</v>
      </c>
      <c r="S12" s="32" t="str">
        <f aca="false">$S11&amp;IF($L12="Y",IF($S11="","",", ")&amp;$A12,"")</f>
        <v>SKU-002</v>
      </c>
      <c r="T12" s="32" t="str">
        <f aca="false">$T11&amp;IF($M12="CZ",IF($T11="","",", ")&amp;$A12,"")</f>
        <v>SKU-004, SKU-005</v>
      </c>
    </row>
    <row r="13" customFormat="false" ht="15" hidden="false" customHeight="false" outlineLevel="0" collapsed="false">
      <c r="A13" s="24" t="str">
        <f aca="false">IF($P13=1,'Ввод данных'!$B13,"")</f>
        <v/>
      </c>
      <c r="B13" s="20" t="str">
        <f aca="false">IF($P13=1,'Ввод данных'!$C13,"")</f>
        <v/>
      </c>
      <c r="C13" s="25" t="str">
        <f aca="false">IF($P13=1,SUM('Ввод данных'!$E13:$P13),"")</f>
        <v/>
      </c>
      <c r="D13" s="25" t="str">
        <f aca="false">IF($P13=1,'Ввод данных'!$D13,"")</f>
        <v/>
      </c>
      <c r="E13" s="25" t="str">
        <f aca="false">IF($P13=1,$C13*$D13,"")</f>
        <v/>
      </c>
      <c r="F13" s="26" t="str">
        <f aca="false">IF(AND($P13=1,'Расчёт ABC-XYZ'!$E$35&gt;0),$E13/'Расчёт ABC-XYZ'!$E$35*100,"")</f>
        <v/>
      </c>
      <c r="G13" s="26" t="str">
        <f aca="false">IF(AND($P13=1,'Расчёт ABC-XYZ'!$E$35&gt;0),SUMIF('Расчёт ABC-XYZ'!$E$5:$E$34,"&gt;="&amp;$E13)/'Расчёт ABC-XYZ'!$E$35*100,"")</f>
        <v/>
      </c>
      <c r="H13" s="27" t="str">
        <f aca="false">IF($G13="","",IF($G13&lt;='Расчёт ABC-XYZ'!$C$39,"A",IF($G13&lt;='Расчёт ABC-XYZ'!$C$40,"B","C")))</f>
        <v/>
      </c>
      <c r="I13" s="28" t="str">
        <f aca="false">IF($P13=1,$C13/12,"")</f>
        <v/>
      </c>
      <c r="J13" s="28" t="str">
        <f aca="false">IF($P13=1,STDEVP('Ввод данных'!$E13:$P13),"")</f>
        <v/>
      </c>
      <c r="K13" s="26" t="str">
        <f aca="false">IF($P13=1,IF($I13&gt;0,$J13/$I13*100,"n.a."),"")</f>
        <v/>
      </c>
      <c r="L13" s="27" t="str">
        <f aca="false">IF($K13="","",IF(ISNUMBER($K13),IF($K13&lt;='Расчёт ABC-XYZ'!$C$41,"X",IF($K13&lt;='Расчёт ABC-XYZ'!$C$42,"Y","Z")),"n.a."))</f>
        <v/>
      </c>
      <c r="M13" s="29" t="str">
        <f aca="false">IF(OR($H13="",$L13=""),"",IF($L13="n.a.","n.a.",$H13&amp;$L13))</f>
        <v/>
      </c>
      <c r="N13" s="14" t="str">
        <f aca="false">IF(OR($M13="",$M13="n.a."),"",IFERROR(VLOOKUP($M13,Справочник!$B$6:$D$14,2,FALSE()),""))</f>
        <v/>
      </c>
      <c r="O13" s="30" t="str">
        <f aca="false">IF($P13=1,RANK($E13,'Расчёт ABC-XYZ'!$E$5:$E$34)+COUNTIF($E$5:$E13,$E13)-1,"")</f>
        <v/>
      </c>
      <c r="P13" s="17" t="str">
        <f aca="false">IF('Ввод данных'!$Q13=1,1,"")</f>
        <v/>
      </c>
      <c r="Q13" s="31" t="str">
        <f aca="false">IF($P13&lt;&gt;1,"",IF($I13&lt;=0,"μ = 0: CV не определён — n.a.","σ / μ = "&amp;ROUND($J13,4)&amp;" / "&amp;ROUND($I13,4)&amp;" = "&amp;ROUND($K13/100,5)&amp;" = "&amp;ROUND($K13,3)&amp;" %"))</f>
        <v/>
      </c>
      <c r="R13" s="32" t="str">
        <f aca="false">$R12&amp;IF($M13="AX",IF($R12="","",", ")&amp;$A13,"")</f>
        <v>SKU-001</v>
      </c>
      <c r="S13" s="32" t="str">
        <f aca="false">$S12&amp;IF($L13="Y",IF($S12="","",", ")&amp;$A13,"")</f>
        <v>SKU-002</v>
      </c>
      <c r="T13" s="32" t="str">
        <f aca="false">$T12&amp;IF($M13="CZ",IF($T12="","",", ")&amp;$A13,"")</f>
        <v>SKU-004, SKU-005</v>
      </c>
    </row>
    <row r="14" customFormat="false" ht="15" hidden="false" customHeight="false" outlineLevel="0" collapsed="false">
      <c r="A14" s="24" t="str">
        <f aca="false">IF($P14=1,'Ввод данных'!$B14,"")</f>
        <v/>
      </c>
      <c r="B14" s="20" t="str">
        <f aca="false">IF($P14=1,'Ввод данных'!$C14,"")</f>
        <v/>
      </c>
      <c r="C14" s="25" t="str">
        <f aca="false">IF($P14=1,SUM('Ввод данных'!$E14:$P14),"")</f>
        <v/>
      </c>
      <c r="D14" s="25" t="str">
        <f aca="false">IF($P14=1,'Ввод данных'!$D14,"")</f>
        <v/>
      </c>
      <c r="E14" s="25" t="str">
        <f aca="false">IF($P14=1,$C14*$D14,"")</f>
        <v/>
      </c>
      <c r="F14" s="26" t="str">
        <f aca="false">IF(AND($P14=1,'Расчёт ABC-XYZ'!$E$35&gt;0),$E14/'Расчёт ABC-XYZ'!$E$35*100,"")</f>
        <v/>
      </c>
      <c r="G14" s="26" t="str">
        <f aca="false">IF(AND($P14=1,'Расчёт ABC-XYZ'!$E$35&gt;0),SUMIF('Расчёт ABC-XYZ'!$E$5:$E$34,"&gt;="&amp;$E14)/'Расчёт ABC-XYZ'!$E$35*100,"")</f>
        <v/>
      </c>
      <c r="H14" s="27" t="str">
        <f aca="false">IF($G14="","",IF($G14&lt;='Расчёт ABC-XYZ'!$C$39,"A",IF($G14&lt;='Расчёт ABC-XYZ'!$C$40,"B","C")))</f>
        <v/>
      </c>
      <c r="I14" s="28" t="str">
        <f aca="false">IF($P14=1,$C14/12,"")</f>
        <v/>
      </c>
      <c r="J14" s="28" t="str">
        <f aca="false">IF($P14=1,STDEVP('Ввод данных'!$E14:$P14),"")</f>
        <v/>
      </c>
      <c r="K14" s="26" t="str">
        <f aca="false">IF($P14=1,IF($I14&gt;0,$J14/$I14*100,"n.a."),"")</f>
        <v/>
      </c>
      <c r="L14" s="27" t="str">
        <f aca="false">IF($K14="","",IF(ISNUMBER($K14),IF($K14&lt;='Расчёт ABC-XYZ'!$C$41,"X",IF($K14&lt;='Расчёт ABC-XYZ'!$C$42,"Y","Z")),"n.a."))</f>
        <v/>
      </c>
      <c r="M14" s="29" t="str">
        <f aca="false">IF(OR($H14="",$L14=""),"",IF($L14="n.a.","n.a.",$H14&amp;$L14))</f>
        <v/>
      </c>
      <c r="N14" s="14" t="str">
        <f aca="false">IF(OR($M14="",$M14="n.a."),"",IFERROR(VLOOKUP($M14,Справочник!$B$6:$D$14,2,FALSE()),""))</f>
        <v/>
      </c>
      <c r="O14" s="30" t="str">
        <f aca="false">IF($P14=1,RANK($E14,'Расчёт ABC-XYZ'!$E$5:$E$34)+COUNTIF($E$5:$E14,$E14)-1,"")</f>
        <v/>
      </c>
      <c r="P14" s="17" t="str">
        <f aca="false">IF('Ввод данных'!$Q14=1,1,"")</f>
        <v/>
      </c>
      <c r="Q14" s="31" t="str">
        <f aca="false">IF($P14&lt;&gt;1,"",IF($I14&lt;=0,"μ = 0: CV не определён — n.a.","σ / μ = "&amp;ROUND($J14,4)&amp;" / "&amp;ROUND($I14,4)&amp;" = "&amp;ROUND($K14/100,5)&amp;" = "&amp;ROUND($K14,3)&amp;" %"))</f>
        <v/>
      </c>
      <c r="R14" s="32" t="str">
        <f aca="false">$R13&amp;IF($M14="AX",IF($R13="","",", ")&amp;$A14,"")</f>
        <v>SKU-001</v>
      </c>
      <c r="S14" s="32" t="str">
        <f aca="false">$S13&amp;IF($L14="Y",IF($S13="","",", ")&amp;$A14,"")</f>
        <v>SKU-002</v>
      </c>
      <c r="T14" s="32" t="str">
        <f aca="false">$T13&amp;IF($M14="CZ",IF($T13="","",", ")&amp;$A14,"")</f>
        <v>SKU-004, SKU-005</v>
      </c>
    </row>
    <row r="15" customFormat="false" ht="15" hidden="false" customHeight="false" outlineLevel="0" collapsed="false">
      <c r="A15" s="24" t="str">
        <f aca="false">IF($P15=1,'Ввод данных'!$B15,"")</f>
        <v/>
      </c>
      <c r="B15" s="20" t="str">
        <f aca="false">IF($P15=1,'Ввод данных'!$C15,"")</f>
        <v/>
      </c>
      <c r="C15" s="25" t="str">
        <f aca="false">IF($P15=1,SUM('Ввод данных'!$E15:$P15),"")</f>
        <v/>
      </c>
      <c r="D15" s="25" t="str">
        <f aca="false">IF($P15=1,'Ввод данных'!$D15,"")</f>
        <v/>
      </c>
      <c r="E15" s="25" t="str">
        <f aca="false">IF($P15=1,$C15*$D15,"")</f>
        <v/>
      </c>
      <c r="F15" s="26" t="str">
        <f aca="false">IF(AND($P15=1,'Расчёт ABC-XYZ'!$E$35&gt;0),$E15/'Расчёт ABC-XYZ'!$E$35*100,"")</f>
        <v/>
      </c>
      <c r="G15" s="26" t="str">
        <f aca="false">IF(AND($P15=1,'Расчёт ABC-XYZ'!$E$35&gt;0),SUMIF('Расчёт ABC-XYZ'!$E$5:$E$34,"&gt;="&amp;$E15)/'Расчёт ABC-XYZ'!$E$35*100,"")</f>
        <v/>
      </c>
      <c r="H15" s="27" t="str">
        <f aca="false">IF($G15="","",IF($G15&lt;='Расчёт ABC-XYZ'!$C$39,"A",IF($G15&lt;='Расчёт ABC-XYZ'!$C$40,"B","C")))</f>
        <v/>
      </c>
      <c r="I15" s="28" t="str">
        <f aca="false">IF($P15=1,$C15/12,"")</f>
        <v/>
      </c>
      <c r="J15" s="28" t="str">
        <f aca="false">IF($P15=1,STDEVP('Ввод данных'!$E15:$P15),"")</f>
        <v/>
      </c>
      <c r="K15" s="26" t="str">
        <f aca="false">IF($P15=1,IF($I15&gt;0,$J15/$I15*100,"n.a."),"")</f>
        <v/>
      </c>
      <c r="L15" s="27" t="str">
        <f aca="false">IF($K15="","",IF(ISNUMBER($K15),IF($K15&lt;='Расчёт ABC-XYZ'!$C$41,"X",IF($K15&lt;='Расчёт ABC-XYZ'!$C$42,"Y","Z")),"n.a."))</f>
        <v/>
      </c>
      <c r="M15" s="29" t="str">
        <f aca="false">IF(OR($H15="",$L15=""),"",IF($L15="n.a.","n.a.",$H15&amp;$L15))</f>
        <v/>
      </c>
      <c r="N15" s="14" t="str">
        <f aca="false">IF(OR($M15="",$M15="n.a."),"",IFERROR(VLOOKUP($M15,Справочник!$B$6:$D$14,2,FALSE()),""))</f>
        <v/>
      </c>
      <c r="O15" s="30" t="str">
        <f aca="false">IF($P15=1,RANK($E15,'Расчёт ABC-XYZ'!$E$5:$E$34)+COUNTIF($E$5:$E15,$E15)-1,"")</f>
        <v/>
      </c>
      <c r="P15" s="17" t="str">
        <f aca="false">IF('Ввод данных'!$Q15=1,1,"")</f>
        <v/>
      </c>
      <c r="Q15" s="31" t="str">
        <f aca="false">IF($P15&lt;&gt;1,"",IF($I15&lt;=0,"μ = 0: CV не определён — n.a.","σ / μ = "&amp;ROUND($J15,4)&amp;" / "&amp;ROUND($I15,4)&amp;" = "&amp;ROUND($K15/100,5)&amp;" = "&amp;ROUND($K15,3)&amp;" %"))</f>
        <v/>
      </c>
      <c r="R15" s="32" t="str">
        <f aca="false">$R14&amp;IF($M15="AX",IF($R14="","",", ")&amp;$A15,"")</f>
        <v>SKU-001</v>
      </c>
      <c r="S15" s="32" t="str">
        <f aca="false">$S14&amp;IF($L15="Y",IF($S14="","",", ")&amp;$A15,"")</f>
        <v>SKU-002</v>
      </c>
      <c r="T15" s="32" t="str">
        <f aca="false">$T14&amp;IF($M15="CZ",IF($T14="","",", ")&amp;$A15,"")</f>
        <v>SKU-004, SKU-005</v>
      </c>
    </row>
    <row r="16" customFormat="false" ht="15" hidden="false" customHeight="false" outlineLevel="0" collapsed="false">
      <c r="A16" s="24" t="str">
        <f aca="false">IF($P16=1,'Ввод данных'!$B16,"")</f>
        <v/>
      </c>
      <c r="B16" s="20" t="str">
        <f aca="false">IF($P16=1,'Ввод данных'!$C16,"")</f>
        <v/>
      </c>
      <c r="C16" s="25" t="str">
        <f aca="false">IF($P16=1,SUM('Ввод данных'!$E16:$P16),"")</f>
        <v/>
      </c>
      <c r="D16" s="25" t="str">
        <f aca="false">IF($P16=1,'Ввод данных'!$D16,"")</f>
        <v/>
      </c>
      <c r="E16" s="25" t="str">
        <f aca="false">IF($P16=1,$C16*$D16,"")</f>
        <v/>
      </c>
      <c r="F16" s="26" t="str">
        <f aca="false">IF(AND($P16=1,'Расчёт ABC-XYZ'!$E$35&gt;0),$E16/'Расчёт ABC-XYZ'!$E$35*100,"")</f>
        <v/>
      </c>
      <c r="G16" s="26" t="str">
        <f aca="false">IF(AND($P16=1,'Расчёт ABC-XYZ'!$E$35&gt;0),SUMIF('Расчёт ABC-XYZ'!$E$5:$E$34,"&gt;="&amp;$E16)/'Расчёт ABC-XYZ'!$E$35*100,"")</f>
        <v/>
      </c>
      <c r="H16" s="27" t="str">
        <f aca="false">IF($G16="","",IF($G16&lt;='Расчёт ABC-XYZ'!$C$39,"A",IF($G16&lt;='Расчёт ABC-XYZ'!$C$40,"B","C")))</f>
        <v/>
      </c>
      <c r="I16" s="28" t="str">
        <f aca="false">IF($P16=1,$C16/12,"")</f>
        <v/>
      </c>
      <c r="J16" s="28" t="str">
        <f aca="false">IF($P16=1,STDEVP('Ввод данных'!$E16:$P16),"")</f>
        <v/>
      </c>
      <c r="K16" s="26" t="str">
        <f aca="false">IF($P16=1,IF($I16&gt;0,$J16/$I16*100,"n.a."),"")</f>
        <v/>
      </c>
      <c r="L16" s="27" t="str">
        <f aca="false">IF($K16="","",IF(ISNUMBER($K16),IF($K16&lt;='Расчёт ABC-XYZ'!$C$41,"X",IF($K16&lt;='Расчёт ABC-XYZ'!$C$42,"Y","Z")),"n.a."))</f>
        <v/>
      </c>
      <c r="M16" s="29" t="str">
        <f aca="false">IF(OR($H16="",$L16=""),"",IF($L16="n.a.","n.a.",$H16&amp;$L16))</f>
        <v/>
      </c>
      <c r="N16" s="14" t="str">
        <f aca="false">IF(OR($M16="",$M16="n.a."),"",IFERROR(VLOOKUP($M16,Справочник!$B$6:$D$14,2,FALSE()),""))</f>
        <v/>
      </c>
      <c r="O16" s="30" t="str">
        <f aca="false">IF($P16=1,RANK($E16,'Расчёт ABC-XYZ'!$E$5:$E$34)+COUNTIF($E$5:$E16,$E16)-1,"")</f>
        <v/>
      </c>
      <c r="P16" s="17" t="str">
        <f aca="false">IF('Ввод данных'!$Q16=1,1,"")</f>
        <v/>
      </c>
      <c r="Q16" s="31" t="str">
        <f aca="false">IF($P16&lt;&gt;1,"",IF($I16&lt;=0,"μ = 0: CV не определён — n.a.","σ / μ = "&amp;ROUND($J16,4)&amp;" / "&amp;ROUND($I16,4)&amp;" = "&amp;ROUND($K16/100,5)&amp;" = "&amp;ROUND($K16,3)&amp;" %"))</f>
        <v/>
      </c>
      <c r="R16" s="32" t="str">
        <f aca="false">$R15&amp;IF($M16="AX",IF($R15="","",", ")&amp;$A16,"")</f>
        <v>SKU-001</v>
      </c>
      <c r="S16" s="32" t="str">
        <f aca="false">$S15&amp;IF($L16="Y",IF($S15="","",", ")&amp;$A16,"")</f>
        <v>SKU-002</v>
      </c>
      <c r="T16" s="32" t="str">
        <f aca="false">$T15&amp;IF($M16="CZ",IF($T15="","",", ")&amp;$A16,"")</f>
        <v>SKU-004, SKU-005</v>
      </c>
    </row>
    <row r="17" customFormat="false" ht="15" hidden="false" customHeight="false" outlineLevel="0" collapsed="false">
      <c r="A17" s="24" t="str">
        <f aca="false">IF($P17=1,'Ввод данных'!$B17,"")</f>
        <v/>
      </c>
      <c r="B17" s="20" t="str">
        <f aca="false">IF($P17=1,'Ввод данных'!$C17,"")</f>
        <v/>
      </c>
      <c r="C17" s="25" t="str">
        <f aca="false">IF($P17=1,SUM('Ввод данных'!$E17:$P17),"")</f>
        <v/>
      </c>
      <c r="D17" s="25" t="str">
        <f aca="false">IF($P17=1,'Ввод данных'!$D17,"")</f>
        <v/>
      </c>
      <c r="E17" s="25" t="str">
        <f aca="false">IF($P17=1,$C17*$D17,"")</f>
        <v/>
      </c>
      <c r="F17" s="26" t="str">
        <f aca="false">IF(AND($P17=1,'Расчёт ABC-XYZ'!$E$35&gt;0),$E17/'Расчёт ABC-XYZ'!$E$35*100,"")</f>
        <v/>
      </c>
      <c r="G17" s="26" t="str">
        <f aca="false">IF(AND($P17=1,'Расчёт ABC-XYZ'!$E$35&gt;0),SUMIF('Расчёт ABC-XYZ'!$E$5:$E$34,"&gt;="&amp;$E17)/'Расчёт ABC-XYZ'!$E$35*100,"")</f>
        <v/>
      </c>
      <c r="H17" s="27" t="str">
        <f aca="false">IF($G17="","",IF($G17&lt;='Расчёт ABC-XYZ'!$C$39,"A",IF($G17&lt;='Расчёт ABC-XYZ'!$C$40,"B","C")))</f>
        <v/>
      </c>
      <c r="I17" s="28" t="str">
        <f aca="false">IF($P17=1,$C17/12,"")</f>
        <v/>
      </c>
      <c r="J17" s="28" t="str">
        <f aca="false">IF($P17=1,STDEVP('Ввод данных'!$E17:$P17),"")</f>
        <v/>
      </c>
      <c r="K17" s="26" t="str">
        <f aca="false">IF($P17=1,IF($I17&gt;0,$J17/$I17*100,"n.a."),"")</f>
        <v/>
      </c>
      <c r="L17" s="27" t="str">
        <f aca="false">IF($K17="","",IF(ISNUMBER($K17),IF($K17&lt;='Расчёт ABC-XYZ'!$C$41,"X",IF($K17&lt;='Расчёт ABC-XYZ'!$C$42,"Y","Z")),"n.a."))</f>
        <v/>
      </c>
      <c r="M17" s="29" t="str">
        <f aca="false">IF(OR($H17="",$L17=""),"",IF($L17="n.a.","n.a.",$H17&amp;$L17))</f>
        <v/>
      </c>
      <c r="N17" s="14" t="str">
        <f aca="false">IF(OR($M17="",$M17="n.a."),"",IFERROR(VLOOKUP($M17,Справочник!$B$6:$D$14,2,FALSE()),""))</f>
        <v/>
      </c>
      <c r="O17" s="30" t="str">
        <f aca="false">IF($P17=1,RANK($E17,'Расчёт ABC-XYZ'!$E$5:$E$34)+COUNTIF($E$5:$E17,$E17)-1,"")</f>
        <v/>
      </c>
      <c r="P17" s="17" t="str">
        <f aca="false">IF('Ввод данных'!$Q17=1,1,"")</f>
        <v/>
      </c>
      <c r="Q17" s="31" t="str">
        <f aca="false">IF($P17&lt;&gt;1,"",IF($I17&lt;=0,"μ = 0: CV не определён — n.a.","σ / μ = "&amp;ROUND($J17,4)&amp;" / "&amp;ROUND($I17,4)&amp;" = "&amp;ROUND($K17/100,5)&amp;" = "&amp;ROUND($K17,3)&amp;" %"))</f>
        <v/>
      </c>
      <c r="R17" s="32" t="str">
        <f aca="false">$R16&amp;IF($M17="AX",IF($R16="","",", ")&amp;$A17,"")</f>
        <v>SKU-001</v>
      </c>
      <c r="S17" s="32" t="str">
        <f aca="false">$S16&amp;IF($L17="Y",IF($S16="","",", ")&amp;$A17,"")</f>
        <v>SKU-002</v>
      </c>
      <c r="T17" s="32" t="str">
        <f aca="false">$T16&amp;IF($M17="CZ",IF($T16="","",", ")&amp;$A17,"")</f>
        <v>SKU-004, SKU-005</v>
      </c>
    </row>
    <row r="18" customFormat="false" ht="15" hidden="false" customHeight="false" outlineLevel="0" collapsed="false">
      <c r="A18" s="24" t="str">
        <f aca="false">IF($P18=1,'Ввод данных'!$B18,"")</f>
        <v/>
      </c>
      <c r="B18" s="20" t="str">
        <f aca="false">IF($P18=1,'Ввод данных'!$C18,"")</f>
        <v/>
      </c>
      <c r="C18" s="25" t="str">
        <f aca="false">IF($P18=1,SUM('Ввод данных'!$E18:$P18),"")</f>
        <v/>
      </c>
      <c r="D18" s="25" t="str">
        <f aca="false">IF($P18=1,'Ввод данных'!$D18,"")</f>
        <v/>
      </c>
      <c r="E18" s="25" t="str">
        <f aca="false">IF($P18=1,$C18*$D18,"")</f>
        <v/>
      </c>
      <c r="F18" s="26" t="str">
        <f aca="false">IF(AND($P18=1,'Расчёт ABC-XYZ'!$E$35&gt;0),$E18/'Расчёт ABC-XYZ'!$E$35*100,"")</f>
        <v/>
      </c>
      <c r="G18" s="26" t="str">
        <f aca="false">IF(AND($P18=1,'Расчёт ABC-XYZ'!$E$35&gt;0),SUMIF('Расчёт ABC-XYZ'!$E$5:$E$34,"&gt;="&amp;$E18)/'Расчёт ABC-XYZ'!$E$35*100,"")</f>
        <v/>
      </c>
      <c r="H18" s="27" t="str">
        <f aca="false">IF($G18="","",IF($G18&lt;='Расчёт ABC-XYZ'!$C$39,"A",IF($G18&lt;='Расчёт ABC-XYZ'!$C$40,"B","C")))</f>
        <v/>
      </c>
      <c r="I18" s="28" t="str">
        <f aca="false">IF($P18=1,$C18/12,"")</f>
        <v/>
      </c>
      <c r="J18" s="28" t="str">
        <f aca="false">IF($P18=1,STDEVP('Ввод данных'!$E18:$P18),"")</f>
        <v/>
      </c>
      <c r="K18" s="26" t="str">
        <f aca="false">IF($P18=1,IF($I18&gt;0,$J18/$I18*100,"n.a."),"")</f>
        <v/>
      </c>
      <c r="L18" s="27" t="str">
        <f aca="false">IF($K18="","",IF(ISNUMBER($K18),IF($K18&lt;='Расчёт ABC-XYZ'!$C$41,"X",IF($K18&lt;='Расчёт ABC-XYZ'!$C$42,"Y","Z")),"n.a."))</f>
        <v/>
      </c>
      <c r="M18" s="29" t="str">
        <f aca="false">IF(OR($H18="",$L18=""),"",IF($L18="n.a.","n.a.",$H18&amp;$L18))</f>
        <v/>
      </c>
      <c r="N18" s="14" t="str">
        <f aca="false">IF(OR($M18="",$M18="n.a."),"",IFERROR(VLOOKUP($M18,Справочник!$B$6:$D$14,2,FALSE()),""))</f>
        <v/>
      </c>
      <c r="O18" s="30" t="str">
        <f aca="false">IF($P18=1,RANK($E18,'Расчёт ABC-XYZ'!$E$5:$E$34)+COUNTIF($E$5:$E18,$E18)-1,"")</f>
        <v/>
      </c>
      <c r="P18" s="17" t="str">
        <f aca="false">IF('Ввод данных'!$Q18=1,1,"")</f>
        <v/>
      </c>
      <c r="Q18" s="31" t="str">
        <f aca="false">IF($P18&lt;&gt;1,"",IF($I18&lt;=0,"μ = 0: CV не определён — n.a.","σ / μ = "&amp;ROUND($J18,4)&amp;" / "&amp;ROUND($I18,4)&amp;" = "&amp;ROUND($K18/100,5)&amp;" = "&amp;ROUND($K18,3)&amp;" %"))</f>
        <v/>
      </c>
      <c r="R18" s="32" t="str">
        <f aca="false">$R17&amp;IF($M18="AX",IF($R17="","",", ")&amp;$A18,"")</f>
        <v>SKU-001</v>
      </c>
      <c r="S18" s="32" t="str">
        <f aca="false">$S17&amp;IF($L18="Y",IF($S17="","",", ")&amp;$A18,"")</f>
        <v>SKU-002</v>
      </c>
      <c r="T18" s="32" t="str">
        <f aca="false">$T17&amp;IF($M18="CZ",IF($T17="","",", ")&amp;$A18,"")</f>
        <v>SKU-004, SKU-005</v>
      </c>
    </row>
    <row r="19" customFormat="false" ht="15" hidden="false" customHeight="false" outlineLevel="0" collapsed="false">
      <c r="A19" s="24" t="str">
        <f aca="false">IF($P19=1,'Ввод данных'!$B19,"")</f>
        <v/>
      </c>
      <c r="B19" s="20" t="str">
        <f aca="false">IF($P19=1,'Ввод данных'!$C19,"")</f>
        <v/>
      </c>
      <c r="C19" s="25" t="str">
        <f aca="false">IF($P19=1,SUM('Ввод данных'!$E19:$P19),"")</f>
        <v/>
      </c>
      <c r="D19" s="25" t="str">
        <f aca="false">IF($P19=1,'Ввод данных'!$D19,"")</f>
        <v/>
      </c>
      <c r="E19" s="25" t="str">
        <f aca="false">IF($P19=1,$C19*$D19,"")</f>
        <v/>
      </c>
      <c r="F19" s="26" t="str">
        <f aca="false">IF(AND($P19=1,'Расчёт ABC-XYZ'!$E$35&gt;0),$E19/'Расчёт ABC-XYZ'!$E$35*100,"")</f>
        <v/>
      </c>
      <c r="G19" s="26" t="str">
        <f aca="false">IF(AND($P19=1,'Расчёт ABC-XYZ'!$E$35&gt;0),SUMIF('Расчёт ABC-XYZ'!$E$5:$E$34,"&gt;="&amp;$E19)/'Расчёт ABC-XYZ'!$E$35*100,"")</f>
        <v/>
      </c>
      <c r="H19" s="27" t="str">
        <f aca="false">IF($G19="","",IF($G19&lt;='Расчёт ABC-XYZ'!$C$39,"A",IF($G19&lt;='Расчёт ABC-XYZ'!$C$40,"B","C")))</f>
        <v/>
      </c>
      <c r="I19" s="28" t="str">
        <f aca="false">IF($P19=1,$C19/12,"")</f>
        <v/>
      </c>
      <c r="J19" s="28" t="str">
        <f aca="false">IF($P19=1,STDEVP('Ввод данных'!$E19:$P19),"")</f>
        <v/>
      </c>
      <c r="K19" s="26" t="str">
        <f aca="false">IF($P19=1,IF($I19&gt;0,$J19/$I19*100,"n.a."),"")</f>
        <v/>
      </c>
      <c r="L19" s="27" t="str">
        <f aca="false">IF($K19="","",IF(ISNUMBER($K19),IF($K19&lt;='Расчёт ABC-XYZ'!$C$41,"X",IF($K19&lt;='Расчёт ABC-XYZ'!$C$42,"Y","Z")),"n.a."))</f>
        <v/>
      </c>
      <c r="M19" s="29" t="str">
        <f aca="false">IF(OR($H19="",$L19=""),"",IF($L19="n.a.","n.a.",$H19&amp;$L19))</f>
        <v/>
      </c>
      <c r="N19" s="14" t="str">
        <f aca="false">IF(OR($M19="",$M19="n.a."),"",IFERROR(VLOOKUP($M19,Справочник!$B$6:$D$14,2,FALSE()),""))</f>
        <v/>
      </c>
      <c r="O19" s="30" t="str">
        <f aca="false">IF($P19=1,RANK($E19,'Расчёт ABC-XYZ'!$E$5:$E$34)+COUNTIF($E$5:$E19,$E19)-1,"")</f>
        <v/>
      </c>
      <c r="P19" s="17" t="str">
        <f aca="false">IF('Ввод данных'!$Q19=1,1,"")</f>
        <v/>
      </c>
      <c r="Q19" s="31" t="str">
        <f aca="false">IF($P19&lt;&gt;1,"",IF($I19&lt;=0,"μ = 0: CV не определён — n.a.","σ / μ = "&amp;ROUND($J19,4)&amp;" / "&amp;ROUND($I19,4)&amp;" = "&amp;ROUND($K19/100,5)&amp;" = "&amp;ROUND($K19,3)&amp;" %"))</f>
        <v/>
      </c>
      <c r="R19" s="32" t="str">
        <f aca="false">$R18&amp;IF($M19="AX",IF($R18="","",", ")&amp;$A19,"")</f>
        <v>SKU-001</v>
      </c>
      <c r="S19" s="32" t="str">
        <f aca="false">$S18&amp;IF($L19="Y",IF($S18="","",", ")&amp;$A19,"")</f>
        <v>SKU-002</v>
      </c>
      <c r="T19" s="32" t="str">
        <f aca="false">$T18&amp;IF($M19="CZ",IF($T18="","",", ")&amp;$A19,"")</f>
        <v>SKU-004, SKU-005</v>
      </c>
    </row>
    <row r="20" customFormat="false" ht="15" hidden="false" customHeight="false" outlineLevel="0" collapsed="false">
      <c r="A20" s="24" t="str">
        <f aca="false">IF($P20=1,'Ввод данных'!$B20,"")</f>
        <v/>
      </c>
      <c r="B20" s="20" t="str">
        <f aca="false">IF($P20=1,'Ввод данных'!$C20,"")</f>
        <v/>
      </c>
      <c r="C20" s="25" t="str">
        <f aca="false">IF($P20=1,SUM('Ввод данных'!$E20:$P20),"")</f>
        <v/>
      </c>
      <c r="D20" s="25" t="str">
        <f aca="false">IF($P20=1,'Ввод данных'!$D20,"")</f>
        <v/>
      </c>
      <c r="E20" s="25" t="str">
        <f aca="false">IF($P20=1,$C20*$D20,"")</f>
        <v/>
      </c>
      <c r="F20" s="26" t="str">
        <f aca="false">IF(AND($P20=1,'Расчёт ABC-XYZ'!$E$35&gt;0),$E20/'Расчёт ABC-XYZ'!$E$35*100,"")</f>
        <v/>
      </c>
      <c r="G20" s="26" t="str">
        <f aca="false">IF(AND($P20=1,'Расчёт ABC-XYZ'!$E$35&gt;0),SUMIF('Расчёт ABC-XYZ'!$E$5:$E$34,"&gt;="&amp;$E20)/'Расчёт ABC-XYZ'!$E$35*100,"")</f>
        <v/>
      </c>
      <c r="H20" s="27" t="str">
        <f aca="false">IF($G20="","",IF($G20&lt;='Расчёт ABC-XYZ'!$C$39,"A",IF($G20&lt;='Расчёт ABC-XYZ'!$C$40,"B","C")))</f>
        <v/>
      </c>
      <c r="I20" s="28" t="str">
        <f aca="false">IF($P20=1,$C20/12,"")</f>
        <v/>
      </c>
      <c r="J20" s="28" t="str">
        <f aca="false">IF($P20=1,STDEVP('Ввод данных'!$E20:$P20),"")</f>
        <v/>
      </c>
      <c r="K20" s="26" t="str">
        <f aca="false">IF($P20=1,IF($I20&gt;0,$J20/$I20*100,"n.a."),"")</f>
        <v/>
      </c>
      <c r="L20" s="27" t="str">
        <f aca="false">IF($K20="","",IF(ISNUMBER($K20),IF($K20&lt;='Расчёт ABC-XYZ'!$C$41,"X",IF($K20&lt;='Расчёт ABC-XYZ'!$C$42,"Y","Z")),"n.a."))</f>
        <v/>
      </c>
      <c r="M20" s="29" t="str">
        <f aca="false">IF(OR($H20="",$L20=""),"",IF($L20="n.a.","n.a.",$H20&amp;$L20))</f>
        <v/>
      </c>
      <c r="N20" s="14" t="str">
        <f aca="false">IF(OR($M20="",$M20="n.a."),"",IFERROR(VLOOKUP($M20,Справочник!$B$6:$D$14,2,FALSE()),""))</f>
        <v/>
      </c>
      <c r="O20" s="30" t="str">
        <f aca="false">IF($P20=1,RANK($E20,'Расчёт ABC-XYZ'!$E$5:$E$34)+COUNTIF($E$5:$E20,$E20)-1,"")</f>
        <v/>
      </c>
      <c r="P20" s="17" t="str">
        <f aca="false">IF('Ввод данных'!$Q20=1,1,"")</f>
        <v/>
      </c>
      <c r="Q20" s="31" t="str">
        <f aca="false">IF($P20&lt;&gt;1,"",IF($I20&lt;=0,"μ = 0: CV не определён — n.a.","σ / μ = "&amp;ROUND($J20,4)&amp;" / "&amp;ROUND($I20,4)&amp;" = "&amp;ROUND($K20/100,5)&amp;" = "&amp;ROUND($K20,3)&amp;" %"))</f>
        <v/>
      </c>
      <c r="R20" s="32" t="str">
        <f aca="false">$R19&amp;IF($M20="AX",IF($R19="","",", ")&amp;$A20,"")</f>
        <v>SKU-001</v>
      </c>
      <c r="S20" s="32" t="str">
        <f aca="false">$S19&amp;IF($L20="Y",IF($S19="","",", ")&amp;$A20,"")</f>
        <v>SKU-002</v>
      </c>
      <c r="T20" s="32" t="str">
        <f aca="false">$T19&amp;IF($M20="CZ",IF($T19="","",", ")&amp;$A20,"")</f>
        <v>SKU-004, SKU-005</v>
      </c>
    </row>
    <row r="21" customFormat="false" ht="15" hidden="false" customHeight="false" outlineLevel="0" collapsed="false">
      <c r="A21" s="24" t="str">
        <f aca="false">IF($P21=1,'Ввод данных'!$B21,"")</f>
        <v/>
      </c>
      <c r="B21" s="20" t="str">
        <f aca="false">IF($P21=1,'Ввод данных'!$C21,"")</f>
        <v/>
      </c>
      <c r="C21" s="25" t="str">
        <f aca="false">IF($P21=1,SUM('Ввод данных'!$E21:$P21),"")</f>
        <v/>
      </c>
      <c r="D21" s="25" t="str">
        <f aca="false">IF($P21=1,'Ввод данных'!$D21,"")</f>
        <v/>
      </c>
      <c r="E21" s="25" t="str">
        <f aca="false">IF($P21=1,$C21*$D21,"")</f>
        <v/>
      </c>
      <c r="F21" s="26" t="str">
        <f aca="false">IF(AND($P21=1,'Расчёт ABC-XYZ'!$E$35&gt;0),$E21/'Расчёт ABC-XYZ'!$E$35*100,"")</f>
        <v/>
      </c>
      <c r="G21" s="26" t="str">
        <f aca="false">IF(AND($P21=1,'Расчёт ABC-XYZ'!$E$35&gt;0),SUMIF('Расчёт ABC-XYZ'!$E$5:$E$34,"&gt;="&amp;$E21)/'Расчёт ABC-XYZ'!$E$35*100,"")</f>
        <v/>
      </c>
      <c r="H21" s="27" t="str">
        <f aca="false">IF($G21="","",IF($G21&lt;='Расчёт ABC-XYZ'!$C$39,"A",IF($G21&lt;='Расчёт ABC-XYZ'!$C$40,"B","C")))</f>
        <v/>
      </c>
      <c r="I21" s="28" t="str">
        <f aca="false">IF($P21=1,$C21/12,"")</f>
        <v/>
      </c>
      <c r="J21" s="28" t="str">
        <f aca="false">IF($P21=1,STDEVP('Ввод данных'!$E21:$P21),"")</f>
        <v/>
      </c>
      <c r="K21" s="26" t="str">
        <f aca="false">IF($P21=1,IF($I21&gt;0,$J21/$I21*100,"n.a."),"")</f>
        <v/>
      </c>
      <c r="L21" s="27" t="str">
        <f aca="false">IF($K21="","",IF(ISNUMBER($K21),IF($K21&lt;='Расчёт ABC-XYZ'!$C$41,"X",IF($K21&lt;='Расчёт ABC-XYZ'!$C$42,"Y","Z")),"n.a."))</f>
        <v/>
      </c>
      <c r="M21" s="29" t="str">
        <f aca="false">IF(OR($H21="",$L21=""),"",IF($L21="n.a.","n.a.",$H21&amp;$L21))</f>
        <v/>
      </c>
      <c r="N21" s="14" t="str">
        <f aca="false">IF(OR($M21="",$M21="n.a."),"",IFERROR(VLOOKUP($M21,Справочник!$B$6:$D$14,2,FALSE()),""))</f>
        <v/>
      </c>
      <c r="O21" s="30" t="str">
        <f aca="false">IF($P21=1,RANK($E21,'Расчёт ABC-XYZ'!$E$5:$E$34)+COUNTIF($E$5:$E21,$E21)-1,"")</f>
        <v/>
      </c>
      <c r="P21" s="17" t="str">
        <f aca="false">IF('Ввод данных'!$Q21=1,1,"")</f>
        <v/>
      </c>
      <c r="Q21" s="31" t="str">
        <f aca="false">IF($P21&lt;&gt;1,"",IF($I21&lt;=0,"μ = 0: CV не определён — n.a.","σ / μ = "&amp;ROUND($J21,4)&amp;" / "&amp;ROUND($I21,4)&amp;" = "&amp;ROUND($K21/100,5)&amp;" = "&amp;ROUND($K21,3)&amp;" %"))</f>
        <v/>
      </c>
      <c r="R21" s="32" t="str">
        <f aca="false">$R20&amp;IF($M21="AX",IF($R20="","",", ")&amp;$A21,"")</f>
        <v>SKU-001</v>
      </c>
      <c r="S21" s="32" t="str">
        <f aca="false">$S20&amp;IF($L21="Y",IF($S20="","",", ")&amp;$A21,"")</f>
        <v>SKU-002</v>
      </c>
      <c r="T21" s="32" t="str">
        <f aca="false">$T20&amp;IF($M21="CZ",IF($T20="","",", ")&amp;$A21,"")</f>
        <v>SKU-004, SKU-005</v>
      </c>
    </row>
    <row r="22" customFormat="false" ht="15" hidden="false" customHeight="false" outlineLevel="0" collapsed="false">
      <c r="A22" s="24" t="str">
        <f aca="false">IF($P22=1,'Ввод данных'!$B22,"")</f>
        <v/>
      </c>
      <c r="B22" s="20" t="str">
        <f aca="false">IF($P22=1,'Ввод данных'!$C22,"")</f>
        <v/>
      </c>
      <c r="C22" s="25" t="str">
        <f aca="false">IF($P22=1,SUM('Ввод данных'!$E22:$P22),"")</f>
        <v/>
      </c>
      <c r="D22" s="25" t="str">
        <f aca="false">IF($P22=1,'Ввод данных'!$D22,"")</f>
        <v/>
      </c>
      <c r="E22" s="25" t="str">
        <f aca="false">IF($P22=1,$C22*$D22,"")</f>
        <v/>
      </c>
      <c r="F22" s="26" t="str">
        <f aca="false">IF(AND($P22=1,'Расчёт ABC-XYZ'!$E$35&gt;0),$E22/'Расчёт ABC-XYZ'!$E$35*100,"")</f>
        <v/>
      </c>
      <c r="G22" s="26" t="str">
        <f aca="false">IF(AND($P22=1,'Расчёт ABC-XYZ'!$E$35&gt;0),SUMIF('Расчёт ABC-XYZ'!$E$5:$E$34,"&gt;="&amp;$E22)/'Расчёт ABC-XYZ'!$E$35*100,"")</f>
        <v/>
      </c>
      <c r="H22" s="27" t="str">
        <f aca="false">IF($G22="","",IF($G22&lt;='Расчёт ABC-XYZ'!$C$39,"A",IF($G22&lt;='Расчёт ABC-XYZ'!$C$40,"B","C")))</f>
        <v/>
      </c>
      <c r="I22" s="28" t="str">
        <f aca="false">IF($P22=1,$C22/12,"")</f>
        <v/>
      </c>
      <c r="J22" s="28" t="str">
        <f aca="false">IF($P22=1,STDEVP('Ввод данных'!$E22:$P22),"")</f>
        <v/>
      </c>
      <c r="K22" s="26" t="str">
        <f aca="false">IF($P22=1,IF($I22&gt;0,$J22/$I22*100,"n.a."),"")</f>
        <v/>
      </c>
      <c r="L22" s="27" t="str">
        <f aca="false">IF($K22="","",IF(ISNUMBER($K22),IF($K22&lt;='Расчёт ABC-XYZ'!$C$41,"X",IF($K22&lt;='Расчёт ABC-XYZ'!$C$42,"Y","Z")),"n.a."))</f>
        <v/>
      </c>
      <c r="M22" s="29" t="str">
        <f aca="false">IF(OR($H22="",$L22=""),"",IF($L22="n.a.","n.a.",$H22&amp;$L22))</f>
        <v/>
      </c>
      <c r="N22" s="14" t="str">
        <f aca="false">IF(OR($M22="",$M22="n.a."),"",IFERROR(VLOOKUP($M22,Справочник!$B$6:$D$14,2,FALSE()),""))</f>
        <v/>
      </c>
      <c r="O22" s="30" t="str">
        <f aca="false">IF($P22=1,RANK($E22,'Расчёт ABC-XYZ'!$E$5:$E$34)+COUNTIF($E$5:$E22,$E22)-1,"")</f>
        <v/>
      </c>
      <c r="P22" s="17" t="str">
        <f aca="false">IF('Ввод данных'!$Q22=1,1,"")</f>
        <v/>
      </c>
      <c r="Q22" s="31" t="str">
        <f aca="false">IF($P22&lt;&gt;1,"",IF($I22&lt;=0,"μ = 0: CV не определён — n.a.","σ / μ = "&amp;ROUND($J22,4)&amp;" / "&amp;ROUND($I22,4)&amp;" = "&amp;ROUND($K22/100,5)&amp;" = "&amp;ROUND($K22,3)&amp;" %"))</f>
        <v/>
      </c>
      <c r="R22" s="32" t="str">
        <f aca="false">$R21&amp;IF($M22="AX",IF($R21="","",", ")&amp;$A22,"")</f>
        <v>SKU-001</v>
      </c>
      <c r="S22" s="32" t="str">
        <f aca="false">$S21&amp;IF($L22="Y",IF($S21="","",", ")&amp;$A22,"")</f>
        <v>SKU-002</v>
      </c>
      <c r="T22" s="32" t="str">
        <f aca="false">$T21&amp;IF($M22="CZ",IF($T21="","",", ")&amp;$A22,"")</f>
        <v>SKU-004, SKU-005</v>
      </c>
    </row>
    <row r="23" customFormat="false" ht="15" hidden="false" customHeight="false" outlineLevel="0" collapsed="false">
      <c r="A23" s="24" t="str">
        <f aca="false">IF($P23=1,'Ввод данных'!$B23,"")</f>
        <v/>
      </c>
      <c r="B23" s="20" t="str">
        <f aca="false">IF($P23=1,'Ввод данных'!$C23,"")</f>
        <v/>
      </c>
      <c r="C23" s="25" t="str">
        <f aca="false">IF($P23=1,SUM('Ввод данных'!$E23:$P23),"")</f>
        <v/>
      </c>
      <c r="D23" s="25" t="str">
        <f aca="false">IF($P23=1,'Ввод данных'!$D23,"")</f>
        <v/>
      </c>
      <c r="E23" s="25" t="str">
        <f aca="false">IF($P23=1,$C23*$D23,"")</f>
        <v/>
      </c>
      <c r="F23" s="26" t="str">
        <f aca="false">IF(AND($P23=1,'Расчёт ABC-XYZ'!$E$35&gt;0),$E23/'Расчёт ABC-XYZ'!$E$35*100,"")</f>
        <v/>
      </c>
      <c r="G23" s="26" t="str">
        <f aca="false">IF(AND($P23=1,'Расчёт ABC-XYZ'!$E$35&gt;0),SUMIF('Расчёт ABC-XYZ'!$E$5:$E$34,"&gt;="&amp;$E23)/'Расчёт ABC-XYZ'!$E$35*100,"")</f>
        <v/>
      </c>
      <c r="H23" s="27" t="str">
        <f aca="false">IF($G23="","",IF($G23&lt;='Расчёт ABC-XYZ'!$C$39,"A",IF($G23&lt;='Расчёт ABC-XYZ'!$C$40,"B","C")))</f>
        <v/>
      </c>
      <c r="I23" s="28" t="str">
        <f aca="false">IF($P23=1,$C23/12,"")</f>
        <v/>
      </c>
      <c r="J23" s="28" t="str">
        <f aca="false">IF($P23=1,STDEVP('Ввод данных'!$E23:$P23),"")</f>
        <v/>
      </c>
      <c r="K23" s="26" t="str">
        <f aca="false">IF($P23=1,IF($I23&gt;0,$J23/$I23*100,"n.a."),"")</f>
        <v/>
      </c>
      <c r="L23" s="27" t="str">
        <f aca="false">IF($K23="","",IF(ISNUMBER($K23),IF($K23&lt;='Расчёт ABC-XYZ'!$C$41,"X",IF($K23&lt;='Расчёт ABC-XYZ'!$C$42,"Y","Z")),"n.a."))</f>
        <v/>
      </c>
      <c r="M23" s="29" t="str">
        <f aca="false">IF(OR($H23="",$L23=""),"",IF($L23="n.a.","n.a.",$H23&amp;$L23))</f>
        <v/>
      </c>
      <c r="N23" s="14" t="str">
        <f aca="false">IF(OR($M23="",$M23="n.a."),"",IFERROR(VLOOKUP($M23,Справочник!$B$6:$D$14,2,FALSE()),""))</f>
        <v/>
      </c>
      <c r="O23" s="30" t="str">
        <f aca="false">IF($P23=1,RANK($E23,'Расчёт ABC-XYZ'!$E$5:$E$34)+COUNTIF($E$5:$E23,$E23)-1,"")</f>
        <v/>
      </c>
      <c r="P23" s="17" t="str">
        <f aca="false">IF('Ввод данных'!$Q23=1,1,"")</f>
        <v/>
      </c>
      <c r="Q23" s="31" t="str">
        <f aca="false">IF($P23&lt;&gt;1,"",IF($I23&lt;=0,"μ = 0: CV не определён — n.a.","σ / μ = "&amp;ROUND($J23,4)&amp;" / "&amp;ROUND($I23,4)&amp;" = "&amp;ROUND($K23/100,5)&amp;" = "&amp;ROUND($K23,3)&amp;" %"))</f>
        <v/>
      </c>
      <c r="R23" s="32" t="str">
        <f aca="false">$R22&amp;IF($M23="AX",IF($R22="","",", ")&amp;$A23,"")</f>
        <v>SKU-001</v>
      </c>
      <c r="S23" s="32" t="str">
        <f aca="false">$S22&amp;IF($L23="Y",IF($S22="","",", ")&amp;$A23,"")</f>
        <v>SKU-002</v>
      </c>
      <c r="T23" s="32" t="str">
        <f aca="false">$T22&amp;IF($M23="CZ",IF($T22="","",", ")&amp;$A23,"")</f>
        <v>SKU-004, SKU-005</v>
      </c>
    </row>
    <row r="24" customFormat="false" ht="15" hidden="false" customHeight="false" outlineLevel="0" collapsed="false">
      <c r="A24" s="24" t="str">
        <f aca="false">IF($P24=1,'Ввод данных'!$B24,"")</f>
        <v/>
      </c>
      <c r="B24" s="20" t="str">
        <f aca="false">IF($P24=1,'Ввод данных'!$C24,"")</f>
        <v/>
      </c>
      <c r="C24" s="25" t="str">
        <f aca="false">IF($P24=1,SUM('Ввод данных'!$E24:$P24),"")</f>
        <v/>
      </c>
      <c r="D24" s="25" t="str">
        <f aca="false">IF($P24=1,'Ввод данных'!$D24,"")</f>
        <v/>
      </c>
      <c r="E24" s="25" t="str">
        <f aca="false">IF($P24=1,$C24*$D24,"")</f>
        <v/>
      </c>
      <c r="F24" s="26" t="str">
        <f aca="false">IF(AND($P24=1,'Расчёт ABC-XYZ'!$E$35&gt;0),$E24/'Расчёт ABC-XYZ'!$E$35*100,"")</f>
        <v/>
      </c>
      <c r="G24" s="26" t="str">
        <f aca="false">IF(AND($P24=1,'Расчёт ABC-XYZ'!$E$35&gt;0),SUMIF('Расчёт ABC-XYZ'!$E$5:$E$34,"&gt;="&amp;$E24)/'Расчёт ABC-XYZ'!$E$35*100,"")</f>
        <v/>
      </c>
      <c r="H24" s="27" t="str">
        <f aca="false">IF($G24="","",IF($G24&lt;='Расчёт ABC-XYZ'!$C$39,"A",IF($G24&lt;='Расчёт ABC-XYZ'!$C$40,"B","C")))</f>
        <v/>
      </c>
      <c r="I24" s="28" t="str">
        <f aca="false">IF($P24=1,$C24/12,"")</f>
        <v/>
      </c>
      <c r="J24" s="28" t="str">
        <f aca="false">IF($P24=1,STDEVP('Ввод данных'!$E24:$P24),"")</f>
        <v/>
      </c>
      <c r="K24" s="26" t="str">
        <f aca="false">IF($P24=1,IF($I24&gt;0,$J24/$I24*100,"n.a."),"")</f>
        <v/>
      </c>
      <c r="L24" s="27" t="str">
        <f aca="false">IF($K24="","",IF(ISNUMBER($K24),IF($K24&lt;='Расчёт ABC-XYZ'!$C$41,"X",IF($K24&lt;='Расчёт ABC-XYZ'!$C$42,"Y","Z")),"n.a."))</f>
        <v/>
      </c>
      <c r="M24" s="29" t="str">
        <f aca="false">IF(OR($H24="",$L24=""),"",IF($L24="n.a.","n.a.",$H24&amp;$L24))</f>
        <v/>
      </c>
      <c r="N24" s="14" t="str">
        <f aca="false">IF(OR($M24="",$M24="n.a."),"",IFERROR(VLOOKUP($M24,Справочник!$B$6:$D$14,2,FALSE()),""))</f>
        <v/>
      </c>
      <c r="O24" s="30" t="str">
        <f aca="false">IF($P24=1,RANK($E24,'Расчёт ABC-XYZ'!$E$5:$E$34)+COUNTIF($E$5:$E24,$E24)-1,"")</f>
        <v/>
      </c>
      <c r="P24" s="17" t="str">
        <f aca="false">IF('Ввод данных'!$Q24=1,1,"")</f>
        <v/>
      </c>
      <c r="Q24" s="31" t="str">
        <f aca="false">IF($P24&lt;&gt;1,"",IF($I24&lt;=0,"μ = 0: CV не определён — n.a.","σ / μ = "&amp;ROUND($J24,4)&amp;" / "&amp;ROUND($I24,4)&amp;" = "&amp;ROUND($K24/100,5)&amp;" = "&amp;ROUND($K24,3)&amp;" %"))</f>
        <v/>
      </c>
      <c r="R24" s="32" t="str">
        <f aca="false">$R23&amp;IF($M24="AX",IF($R23="","",", ")&amp;$A24,"")</f>
        <v>SKU-001</v>
      </c>
      <c r="S24" s="32" t="str">
        <f aca="false">$S23&amp;IF($L24="Y",IF($S23="","",", ")&amp;$A24,"")</f>
        <v>SKU-002</v>
      </c>
      <c r="T24" s="32" t="str">
        <f aca="false">$T23&amp;IF($M24="CZ",IF($T23="","",", ")&amp;$A24,"")</f>
        <v>SKU-004, SKU-005</v>
      </c>
    </row>
    <row r="25" customFormat="false" ht="15" hidden="false" customHeight="false" outlineLevel="0" collapsed="false">
      <c r="A25" s="24" t="str">
        <f aca="false">IF($P25=1,'Ввод данных'!$B25,"")</f>
        <v/>
      </c>
      <c r="B25" s="20" t="str">
        <f aca="false">IF($P25=1,'Ввод данных'!$C25,"")</f>
        <v/>
      </c>
      <c r="C25" s="25" t="str">
        <f aca="false">IF($P25=1,SUM('Ввод данных'!$E25:$P25),"")</f>
        <v/>
      </c>
      <c r="D25" s="25" t="str">
        <f aca="false">IF($P25=1,'Ввод данных'!$D25,"")</f>
        <v/>
      </c>
      <c r="E25" s="25" t="str">
        <f aca="false">IF($P25=1,$C25*$D25,"")</f>
        <v/>
      </c>
      <c r="F25" s="26" t="str">
        <f aca="false">IF(AND($P25=1,'Расчёт ABC-XYZ'!$E$35&gt;0),$E25/'Расчёт ABC-XYZ'!$E$35*100,"")</f>
        <v/>
      </c>
      <c r="G25" s="26" t="str">
        <f aca="false">IF(AND($P25=1,'Расчёт ABC-XYZ'!$E$35&gt;0),SUMIF('Расчёт ABC-XYZ'!$E$5:$E$34,"&gt;="&amp;$E25)/'Расчёт ABC-XYZ'!$E$35*100,"")</f>
        <v/>
      </c>
      <c r="H25" s="27" t="str">
        <f aca="false">IF($G25="","",IF($G25&lt;='Расчёт ABC-XYZ'!$C$39,"A",IF($G25&lt;='Расчёт ABC-XYZ'!$C$40,"B","C")))</f>
        <v/>
      </c>
      <c r="I25" s="28" t="str">
        <f aca="false">IF($P25=1,$C25/12,"")</f>
        <v/>
      </c>
      <c r="J25" s="28" t="str">
        <f aca="false">IF($P25=1,STDEVP('Ввод данных'!$E25:$P25),"")</f>
        <v/>
      </c>
      <c r="K25" s="26" t="str">
        <f aca="false">IF($P25=1,IF($I25&gt;0,$J25/$I25*100,"n.a."),"")</f>
        <v/>
      </c>
      <c r="L25" s="27" t="str">
        <f aca="false">IF($K25="","",IF(ISNUMBER($K25),IF($K25&lt;='Расчёт ABC-XYZ'!$C$41,"X",IF($K25&lt;='Расчёт ABC-XYZ'!$C$42,"Y","Z")),"n.a."))</f>
        <v/>
      </c>
      <c r="M25" s="29" t="str">
        <f aca="false">IF(OR($H25="",$L25=""),"",IF($L25="n.a.","n.a.",$H25&amp;$L25))</f>
        <v/>
      </c>
      <c r="N25" s="14" t="str">
        <f aca="false">IF(OR($M25="",$M25="n.a."),"",IFERROR(VLOOKUP($M25,Справочник!$B$6:$D$14,2,FALSE()),""))</f>
        <v/>
      </c>
      <c r="O25" s="30" t="str">
        <f aca="false">IF($P25=1,RANK($E25,'Расчёт ABC-XYZ'!$E$5:$E$34)+COUNTIF($E$5:$E25,$E25)-1,"")</f>
        <v/>
      </c>
      <c r="P25" s="17" t="str">
        <f aca="false">IF('Ввод данных'!$Q25=1,1,"")</f>
        <v/>
      </c>
      <c r="Q25" s="31" t="str">
        <f aca="false">IF($P25&lt;&gt;1,"",IF($I25&lt;=0,"μ = 0: CV не определён — n.a.","σ / μ = "&amp;ROUND($J25,4)&amp;" / "&amp;ROUND($I25,4)&amp;" = "&amp;ROUND($K25/100,5)&amp;" = "&amp;ROUND($K25,3)&amp;" %"))</f>
        <v/>
      </c>
      <c r="R25" s="32" t="str">
        <f aca="false">$R24&amp;IF($M25="AX",IF($R24="","",", ")&amp;$A25,"")</f>
        <v>SKU-001</v>
      </c>
      <c r="S25" s="32" t="str">
        <f aca="false">$S24&amp;IF($L25="Y",IF($S24="","",", ")&amp;$A25,"")</f>
        <v>SKU-002</v>
      </c>
      <c r="T25" s="32" t="str">
        <f aca="false">$T24&amp;IF($M25="CZ",IF($T24="","",", ")&amp;$A25,"")</f>
        <v>SKU-004, SKU-005</v>
      </c>
    </row>
    <row r="26" customFormat="false" ht="15" hidden="false" customHeight="false" outlineLevel="0" collapsed="false">
      <c r="A26" s="24" t="str">
        <f aca="false">IF($P26=1,'Ввод данных'!$B26,"")</f>
        <v/>
      </c>
      <c r="B26" s="20" t="str">
        <f aca="false">IF($P26=1,'Ввод данных'!$C26,"")</f>
        <v/>
      </c>
      <c r="C26" s="25" t="str">
        <f aca="false">IF($P26=1,SUM('Ввод данных'!$E26:$P26),"")</f>
        <v/>
      </c>
      <c r="D26" s="25" t="str">
        <f aca="false">IF($P26=1,'Ввод данных'!$D26,"")</f>
        <v/>
      </c>
      <c r="E26" s="25" t="str">
        <f aca="false">IF($P26=1,$C26*$D26,"")</f>
        <v/>
      </c>
      <c r="F26" s="26" t="str">
        <f aca="false">IF(AND($P26=1,'Расчёт ABC-XYZ'!$E$35&gt;0),$E26/'Расчёт ABC-XYZ'!$E$35*100,"")</f>
        <v/>
      </c>
      <c r="G26" s="26" t="str">
        <f aca="false">IF(AND($P26=1,'Расчёт ABC-XYZ'!$E$35&gt;0),SUMIF('Расчёт ABC-XYZ'!$E$5:$E$34,"&gt;="&amp;$E26)/'Расчёт ABC-XYZ'!$E$35*100,"")</f>
        <v/>
      </c>
      <c r="H26" s="27" t="str">
        <f aca="false">IF($G26="","",IF($G26&lt;='Расчёт ABC-XYZ'!$C$39,"A",IF($G26&lt;='Расчёт ABC-XYZ'!$C$40,"B","C")))</f>
        <v/>
      </c>
      <c r="I26" s="28" t="str">
        <f aca="false">IF($P26=1,$C26/12,"")</f>
        <v/>
      </c>
      <c r="J26" s="28" t="str">
        <f aca="false">IF($P26=1,STDEVP('Ввод данных'!$E26:$P26),"")</f>
        <v/>
      </c>
      <c r="K26" s="26" t="str">
        <f aca="false">IF($P26=1,IF($I26&gt;0,$J26/$I26*100,"n.a."),"")</f>
        <v/>
      </c>
      <c r="L26" s="27" t="str">
        <f aca="false">IF($K26="","",IF(ISNUMBER($K26),IF($K26&lt;='Расчёт ABC-XYZ'!$C$41,"X",IF($K26&lt;='Расчёт ABC-XYZ'!$C$42,"Y","Z")),"n.a."))</f>
        <v/>
      </c>
      <c r="M26" s="29" t="str">
        <f aca="false">IF(OR($H26="",$L26=""),"",IF($L26="n.a.","n.a.",$H26&amp;$L26))</f>
        <v/>
      </c>
      <c r="N26" s="14" t="str">
        <f aca="false">IF(OR($M26="",$M26="n.a."),"",IFERROR(VLOOKUP($M26,Справочник!$B$6:$D$14,2,FALSE()),""))</f>
        <v/>
      </c>
      <c r="O26" s="30" t="str">
        <f aca="false">IF($P26=1,RANK($E26,'Расчёт ABC-XYZ'!$E$5:$E$34)+COUNTIF($E$5:$E26,$E26)-1,"")</f>
        <v/>
      </c>
      <c r="P26" s="17" t="str">
        <f aca="false">IF('Ввод данных'!$Q26=1,1,"")</f>
        <v/>
      </c>
      <c r="Q26" s="31" t="str">
        <f aca="false">IF($P26&lt;&gt;1,"",IF($I26&lt;=0,"μ = 0: CV не определён — n.a.","σ / μ = "&amp;ROUND($J26,4)&amp;" / "&amp;ROUND($I26,4)&amp;" = "&amp;ROUND($K26/100,5)&amp;" = "&amp;ROUND($K26,3)&amp;" %"))</f>
        <v/>
      </c>
      <c r="R26" s="32" t="str">
        <f aca="false">$R25&amp;IF($M26="AX",IF($R25="","",", ")&amp;$A26,"")</f>
        <v>SKU-001</v>
      </c>
      <c r="S26" s="32" t="str">
        <f aca="false">$S25&amp;IF($L26="Y",IF($S25="","",", ")&amp;$A26,"")</f>
        <v>SKU-002</v>
      </c>
      <c r="T26" s="32" t="str">
        <f aca="false">$T25&amp;IF($M26="CZ",IF($T25="","",", ")&amp;$A26,"")</f>
        <v>SKU-004, SKU-005</v>
      </c>
    </row>
    <row r="27" customFormat="false" ht="15" hidden="false" customHeight="false" outlineLevel="0" collapsed="false">
      <c r="A27" s="24" t="str">
        <f aca="false">IF($P27=1,'Ввод данных'!$B27,"")</f>
        <v/>
      </c>
      <c r="B27" s="20" t="str">
        <f aca="false">IF($P27=1,'Ввод данных'!$C27,"")</f>
        <v/>
      </c>
      <c r="C27" s="25" t="str">
        <f aca="false">IF($P27=1,SUM('Ввод данных'!$E27:$P27),"")</f>
        <v/>
      </c>
      <c r="D27" s="25" t="str">
        <f aca="false">IF($P27=1,'Ввод данных'!$D27,"")</f>
        <v/>
      </c>
      <c r="E27" s="25" t="str">
        <f aca="false">IF($P27=1,$C27*$D27,"")</f>
        <v/>
      </c>
      <c r="F27" s="26" t="str">
        <f aca="false">IF(AND($P27=1,'Расчёт ABC-XYZ'!$E$35&gt;0),$E27/'Расчёт ABC-XYZ'!$E$35*100,"")</f>
        <v/>
      </c>
      <c r="G27" s="26" t="str">
        <f aca="false">IF(AND($P27=1,'Расчёт ABC-XYZ'!$E$35&gt;0),SUMIF('Расчёт ABC-XYZ'!$E$5:$E$34,"&gt;="&amp;$E27)/'Расчёт ABC-XYZ'!$E$35*100,"")</f>
        <v/>
      </c>
      <c r="H27" s="27" t="str">
        <f aca="false">IF($G27="","",IF($G27&lt;='Расчёт ABC-XYZ'!$C$39,"A",IF($G27&lt;='Расчёт ABC-XYZ'!$C$40,"B","C")))</f>
        <v/>
      </c>
      <c r="I27" s="28" t="str">
        <f aca="false">IF($P27=1,$C27/12,"")</f>
        <v/>
      </c>
      <c r="J27" s="28" t="str">
        <f aca="false">IF($P27=1,STDEVP('Ввод данных'!$E27:$P27),"")</f>
        <v/>
      </c>
      <c r="K27" s="26" t="str">
        <f aca="false">IF($P27=1,IF($I27&gt;0,$J27/$I27*100,"n.a."),"")</f>
        <v/>
      </c>
      <c r="L27" s="27" t="str">
        <f aca="false">IF($K27="","",IF(ISNUMBER($K27),IF($K27&lt;='Расчёт ABC-XYZ'!$C$41,"X",IF($K27&lt;='Расчёт ABC-XYZ'!$C$42,"Y","Z")),"n.a."))</f>
        <v/>
      </c>
      <c r="M27" s="29" t="str">
        <f aca="false">IF(OR($H27="",$L27=""),"",IF($L27="n.a.","n.a.",$H27&amp;$L27))</f>
        <v/>
      </c>
      <c r="N27" s="14" t="str">
        <f aca="false">IF(OR($M27="",$M27="n.a."),"",IFERROR(VLOOKUP($M27,Справочник!$B$6:$D$14,2,FALSE()),""))</f>
        <v/>
      </c>
      <c r="O27" s="30" t="str">
        <f aca="false">IF($P27=1,RANK($E27,'Расчёт ABC-XYZ'!$E$5:$E$34)+COUNTIF($E$5:$E27,$E27)-1,"")</f>
        <v/>
      </c>
      <c r="P27" s="17" t="str">
        <f aca="false">IF('Ввод данных'!$Q27=1,1,"")</f>
        <v/>
      </c>
      <c r="Q27" s="31" t="str">
        <f aca="false">IF($P27&lt;&gt;1,"",IF($I27&lt;=0,"μ = 0: CV не определён — n.a.","σ / μ = "&amp;ROUND($J27,4)&amp;" / "&amp;ROUND($I27,4)&amp;" = "&amp;ROUND($K27/100,5)&amp;" = "&amp;ROUND($K27,3)&amp;" %"))</f>
        <v/>
      </c>
      <c r="R27" s="32" t="str">
        <f aca="false">$R26&amp;IF($M27="AX",IF($R26="","",", ")&amp;$A27,"")</f>
        <v>SKU-001</v>
      </c>
      <c r="S27" s="32" t="str">
        <f aca="false">$S26&amp;IF($L27="Y",IF($S26="","",", ")&amp;$A27,"")</f>
        <v>SKU-002</v>
      </c>
      <c r="T27" s="32" t="str">
        <f aca="false">$T26&amp;IF($M27="CZ",IF($T26="","",", ")&amp;$A27,"")</f>
        <v>SKU-004, SKU-005</v>
      </c>
    </row>
    <row r="28" customFormat="false" ht="15" hidden="false" customHeight="false" outlineLevel="0" collapsed="false">
      <c r="A28" s="24" t="str">
        <f aca="false">IF($P28=1,'Ввод данных'!$B28,"")</f>
        <v/>
      </c>
      <c r="B28" s="20" t="str">
        <f aca="false">IF($P28=1,'Ввод данных'!$C28,"")</f>
        <v/>
      </c>
      <c r="C28" s="25" t="str">
        <f aca="false">IF($P28=1,SUM('Ввод данных'!$E28:$P28),"")</f>
        <v/>
      </c>
      <c r="D28" s="25" t="str">
        <f aca="false">IF($P28=1,'Ввод данных'!$D28,"")</f>
        <v/>
      </c>
      <c r="E28" s="25" t="str">
        <f aca="false">IF($P28=1,$C28*$D28,"")</f>
        <v/>
      </c>
      <c r="F28" s="26" t="str">
        <f aca="false">IF(AND($P28=1,'Расчёт ABC-XYZ'!$E$35&gt;0),$E28/'Расчёт ABC-XYZ'!$E$35*100,"")</f>
        <v/>
      </c>
      <c r="G28" s="26" t="str">
        <f aca="false">IF(AND($P28=1,'Расчёт ABC-XYZ'!$E$35&gt;0),SUMIF('Расчёт ABC-XYZ'!$E$5:$E$34,"&gt;="&amp;$E28)/'Расчёт ABC-XYZ'!$E$35*100,"")</f>
        <v/>
      </c>
      <c r="H28" s="27" t="str">
        <f aca="false">IF($G28="","",IF($G28&lt;='Расчёт ABC-XYZ'!$C$39,"A",IF($G28&lt;='Расчёт ABC-XYZ'!$C$40,"B","C")))</f>
        <v/>
      </c>
      <c r="I28" s="28" t="str">
        <f aca="false">IF($P28=1,$C28/12,"")</f>
        <v/>
      </c>
      <c r="J28" s="28" t="str">
        <f aca="false">IF($P28=1,STDEVP('Ввод данных'!$E28:$P28),"")</f>
        <v/>
      </c>
      <c r="K28" s="26" t="str">
        <f aca="false">IF($P28=1,IF($I28&gt;0,$J28/$I28*100,"n.a."),"")</f>
        <v/>
      </c>
      <c r="L28" s="27" t="str">
        <f aca="false">IF($K28="","",IF(ISNUMBER($K28),IF($K28&lt;='Расчёт ABC-XYZ'!$C$41,"X",IF($K28&lt;='Расчёт ABC-XYZ'!$C$42,"Y","Z")),"n.a."))</f>
        <v/>
      </c>
      <c r="M28" s="29" t="str">
        <f aca="false">IF(OR($H28="",$L28=""),"",IF($L28="n.a.","n.a.",$H28&amp;$L28))</f>
        <v/>
      </c>
      <c r="N28" s="14" t="str">
        <f aca="false">IF(OR($M28="",$M28="n.a."),"",IFERROR(VLOOKUP($M28,Справочник!$B$6:$D$14,2,FALSE()),""))</f>
        <v/>
      </c>
      <c r="O28" s="30" t="str">
        <f aca="false">IF($P28=1,RANK($E28,'Расчёт ABC-XYZ'!$E$5:$E$34)+COUNTIF($E$5:$E28,$E28)-1,"")</f>
        <v/>
      </c>
      <c r="P28" s="17" t="str">
        <f aca="false">IF('Ввод данных'!$Q28=1,1,"")</f>
        <v/>
      </c>
      <c r="Q28" s="31" t="str">
        <f aca="false">IF($P28&lt;&gt;1,"",IF($I28&lt;=0,"μ = 0: CV не определён — n.a.","σ / μ = "&amp;ROUND($J28,4)&amp;" / "&amp;ROUND($I28,4)&amp;" = "&amp;ROUND($K28/100,5)&amp;" = "&amp;ROUND($K28,3)&amp;" %"))</f>
        <v/>
      </c>
      <c r="R28" s="32" t="str">
        <f aca="false">$R27&amp;IF($M28="AX",IF($R27="","",", ")&amp;$A28,"")</f>
        <v>SKU-001</v>
      </c>
      <c r="S28" s="32" t="str">
        <f aca="false">$S27&amp;IF($L28="Y",IF($S27="","",", ")&amp;$A28,"")</f>
        <v>SKU-002</v>
      </c>
      <c r="T28" s="32" t="str">
        <f aca="false">$T27&amp;IF($M28="CZ",IF($T27="","",", ")&amp;$A28,"")</f>
        <v>SKU-004, SKU-005</v>
      </c>
    </row>
    <row r="29" customFormat="false" ht="15" hidden="false" customHeight="false" outlineLevel="0" collapsed="false">
      <c r="A29" s="24" t="str">
        <f aca="false">IF($P29=1,'Ввод данных'!$B29,"")</f>
        <v/>
      </c>
      <c r="B29" s="20" t="str">
        <f aca="false">IF($P29=1,'Ввод данных'!$C29,"")</f>
        <v/>
      </c>
      <c r="C29" s="25" t="str">
        <f aca="false">IF($P29=1,SUM('Ввод данных'!$E29:$P29),"")</f>
        <v/>
      </c>
      <c r="D29" s="25" t="str">
        <f aca="false">IF($P29=1,'Ввод данных'!$D29,"")</f>
        <v/>
      </c>
      <c r="E29" s="25" t="str">
        <f aca="false">IF($P29=1,$C29*$D29,"")</f>
        <v/>
      </c>
      <c r="F29" s="26" t="str">
        <f aca="false">IF(AND($P29=1,'Расчёт ABC-XYZ'!$E$35&gt;0),$E29/'Расчёт ABC-XYZ'!$E$35*100,"")</f>
        <v/>
      </c>
      <c r="G29" s="26" t="str">
        <f aca="false">IF(AND($P29=1,'Расчёт ABC-XYZ'!$E$35&gt;0),SUMIF('Расчёт ABC-XYZ'!$E$5:$E$34,"&gt;="&amp;$E29)/'Расчёт ABC-XYZ'!$E$35*100,"")</f>
        <v/>
      </c>
      <c r="H29" s="27" t="str">
        <f aca="false">IF($G29="","",IF($G29&lt;='Расчёт ABC-XYZ'!$C$39,"A",IF($G29&lt;='Расчёт ABC-XYZ'!$C$40,"B","C")))</f>
        <v/>
      </c>
      <c r="I29" s="28" t="str">
        <f aca="false">IF($P29=1,$C29/12,"")</f>
        <v/>
      </c>
      <c r="J29" s="28" t="str">
        <f aca="false">IF($P29=1,STDEVP('Ввод данных'!$E29:$P29),"")</f>
        <v/>
      </c>
      <c r="K29" s="26" t="str">
        <f aca="false">IF($P29=1,IF($I29&gt;0,$J29/$I29*100,"n.a."),"")</f>
        <v/>
      </c>
      <c r="L29" s="27" t="str">
        <f aca="false">IF($K29="","",IF(ISNUMBER($K29),IF($K29&lt;='Расчёт ABC-XYZ'!$C$41,"X",IF($K29&lt;='Расчёт ABC-XYZ'!$C$42,"Y","Z")),"n.a."))</f>
        <v/>
      </c>
      <c r="M29" s="29" t="str">
        <f aca="false">IF(OR($H29="",$L29=""),"",IF($L29="n.a.","n.a.",$H29&amp;$L29))</f>
        <v/>
      </c>
      <c r="N29" s="14" t="str">
        <f aca="false">IF(OR($M29="",$M29="n.a."),"",IFERROR(VLOOKUP($M29,Справочник!$B$6:$D$14,2,FALSE()),""))</f>
        <v/>
      </c>
      <c r="O29" s="30" t="str">
        <f aca="false">IF($P29=1,RANK($E29,'Расчёт ABC-XYZ'!$E$5:$E$34)+COUNTIF($E$5:$E29,$E29)-1,"")</f>
        <v/>
      </c>
      <c r="P29" s="17" t="str">
        <f aca="false">IF('Ввод данных'!$Q29=1,1,"")</f>
        <v/>
      </c>
      <c r="Q29" s="31" t="str">
        <f aca="false">IF($P29&lt;&gt;1,"",IF($I29&lt;=0,"μ = 0: CV не определён — n.a.","σ / μ = "&amp;ROUND($J29,4)&amp;" / "&amp;ROUND($I29,4)&amp;" = "&amp;ROUND($K29/100,5)&amp;" = "&amp;ROUND($K29,3)&amp;" %"))</f>
        <v/>
      </c>
      <c r="R29" s="32" t="str">
        <f aca="false">$R28&amp;IF($M29="AX",IF($R28="","",", ")&amp;$A29,"")</f>
        <v>SKU-001</v>
      </c>
      <c r="S29" s="32" t="str">
        <f aca="false">$S28&amp;IF($L29="Y",IF($S28="","",", ")&amp;$A29,"")</f>
        <v>SKU-002</v>
      </c>
      <c r="T29" s="32" t="str">
        <f aca="false">$T28&amp;IF($M29="CZ",IF($T28="","",", ")&amp;$A29,"")</f>
        <v>SKU-004, SKU-005</v>
      </c>
    </row>
    <row r="30" customFormat="false" ht="15" hidden="false" customHeight="false" outlineLevel="0" collapsed="false">
      <c r="A30" s="24" t="str">
        <f aca="false">IF($P30=1,'Ввод данных'!$B30,"")</f>
        <v/>
      </c>
      <c r="B30" s="20" t="str">
        <f aca="false">IF($P30=1,'Ввод данных'!$C30,"")</f>
        <v/>
      </c>
      <c r="C30" s="25" t="str">
        <f aca="false">IF($P30=1,SUM('Ввод данных'!$E30:$P30),"")</f>
        <v/>
      </c>
      <c r="D30" s="25" t="str">
        <f aca="false">IF($P30=1,'Ввод данных'!$D30,"")</f>
        <v/>
      </c>
      <c r="E30" s="25" t="str">
        <f aca="false">IF($P30=1,$C30*$D30,"")</f>
        <v/>
      </c>
      <c r="F30" s="26" t="str">
        <f aca="false">IF(AND($P30=1,'Расчёт ABC-XYZ'!$E$35&gt;0),$E30/'Расчёт ABC-XYZ'!$E$35*100,"")</f>
        <v/>
      </c>
      <c r="G30" s="26" t="str">
        <f aca="false">IF(AND($P30=1,'Расчёт ABC-XYZ'!$E$35&gt;0),SUMIF('Расчёт ABC-XYZ'!$E$5:$E$34,"&gt;="&amp;$E30)/'Расчёт ABC-XYZ'!$E$35*100,"")</f>
        <v/>
      </c>
      <c r="H30" s="27" t="str">
        <f aca="false">IF($G30="","",IF($G30&lt;='Расчёт ABC-XYZ'!$C$39,"A",IF($G30&lt;='Расчёт ABC-XYZ'!$C$40,"B","C")))</f>
        <v/>
      </c>
      <c r="I30" s="28" t="str">
        <f aca="false">IF($P30=1,$C30/12,"")</f>
        <v/>
      </c>
      <c r="J30" s="28" t="str">
        <f aca="false">IF($P30=1,STDEVP('Ввод данных'!$E30:$P30),"")</f>
        <v/>
      </c>
      <c r="K30" s="26" t="str">
        <f aca="false">IF($P30=1,IF($I30&gt;0,$J30/$I30*100,"n.a."),"")</f>
        <v/>
      </c>
      <c r="L30" s="27" t="str">
        <f aca="false">IF($K30="","",IF(ISNUMBER($K30),IF($K30&lt;='Расчёт ABC-XYZ'!$C$41,"X",IF($K30&lt;='Расчёт ABC-XYZ'!$C$42,"Y","Z")),"n.a."))</f>
        <v/>
      </c>
      <c r="M30" s="29" t="str">
        <f aca="false">IF(OR($H30="",$L30=""),"",IF($L30="n.a.","n.a.",$H30&amp;$L30))</f>
        <v/>
      </c>
      <c r="N30" s="14" t="str">
        <f aca="false">IF(OR($M30="",$M30="n.a."),"",IFERROR(VLOOKUP($M30,Справочник!$B$6:$D$14,2,FALSE()),""))</f>
        <v/>
      </c>
      <c r="O30" s="30" t="str">
        <f aca="false">IF($P30=1,RANK($E30,'Расчёт ABC-XYZ'!$E$5:$E$34)+COUNTIF($E$5:$E30,$E30)-1,"")</f>
        <v/>
      </c>
      <c r="P30" s="17" t="str">
        <f aca="false">IF('Ввод данных'!$Q30=1,1,"")</f>
        <v/>
      </c>
      <c r="Q30" s="31" t="str">
        <f aca="false">IF($P30&lt;&gt;1,"",IF($I30&lt;=0,"μ = 0: CV не определён — n.a.","σ / μ = "&amp;ROUND($J30,4)&amp;" / "&amp;ROUND($I30,4)&amp;" = "&amp;ROUND($K30/100,5)&amp;" = "&amp;ROUND($K30,3)&amp;" %"))</f>
        <v/>
      </c>
      <c r="R30" s="32" t="str">
        <f aca="false">$R29&amp;IF($M30="AX",IF($R29="","",", ")&amp;$A30,"")</f>
        <v>SKU-001</v>
      </c>
      <c r="S30" s="32" t="str">
        <f aca="false">$S29&amp;IF($L30="Y",IF($S29="","",", ")&amp;$A30,"")</f>
        <v>SKU-002</v>
      </c>
      <c r="T30" s="32" t="str">
        <f aca="false">$T29&amp;IF($M30="CZ",IF($T29="","",", ")&amp;$A30,"")</f>
        <v>SKU-004, SKU-005</v>
      </c>
    </row>
    <row r="31" customFormat="false" ht="15" hidden="false" customHeight="false" outlineLevel="0" collapsed="false">
      <c r="A31" s="24" t="str">
        <f aca="false">IF($P31=1,'Ввод данных'!$B31,"")</f>
        <v/>
      </c>
      <c r="B31" s="20" t="str">
        <f aca="false">IF($P31=1,'Ввод данных'!$C31,"")</f>
        <v/>
      </c>
      <c r="C31" s="25" t="str">
        <f aca="false">IF($P31=1,SUM('Ввод данных'!$E31:$P31),"")</f>
        <v/>
      </c>
      <c r="D31" s="25" t="str">
        <f aca="false">IF($P31=1,'Ввод данных'!$D31,"")</f>
        <v/>
      </c>
      <c r="E31" s="25" t="str">
        <f aca="false">IF($P31=1,$C31*$D31,"")</f>
        <v/>
      </c>
      <c r="F31" s="26" t="str">
        <f aca="false">IF(AND($P31=1,'Расчёт ABC-XYZ'!$E$35&gt;0),$E31/'Расчёт ABC-XYZ'!$E$35*100,"")</f>
        <v/>
      </c>
      <c r="G31" s="26" t="str">
        <f aca="false">IF(AND($P31=1,'Расчёт ABC-XYZ'!$E$35&gt;0),SUMIF('Расчёт ABC-XYZ'!$E$5:$E$34,"&gt;="&amp;$E31)/'Расчёт ABC-XYZ'!$E$35*100,"")</f>
        <v/>
      </c>
      <c r="H31" s="27" t="str">
        <f aca="false">IF($G31="","",IF($G31&lt;='Расчёт ABC-XYZ'!$C$39,"A",IF($G31&lt;='Расчёт ABC-XYZ'!$C$40,"B","C")))</f>
        <v/>
      </c>
      <c r="I31" s="28" t="str">
        <f aca="false">IF($P31=1,$C31/12,"")</f>
        <v/>
      </c>
      <c r="J31" s="28" t="str">
        <f aca="false">IF($P31=1,STDEVP('Ввод данных'!$E31:$P31),"")</f>
        <v/>
      </c>
      <c r="K31" s="26" t="str">
        <f aca="false">IF($P31=1,IF($I31&gt;0,$J31/$I31*100,"n.a."),"")</f>
        <v/>
      </c>
      <c r="L31" s="27" t="str">
        <f aca="false">IF($K31="","",IF(ISNUMBER($K31),IF($K31&lt;='Расчёт ABC-XYZ'!$C$41,"X",IF($K31&lt;='Расчёт ABC-XYZ'!$C$42,"Y","Z")),"n.a."))</f>
        <v/>
      </c>
      <c r="M31" s="29" t="str">
        <f aca="false">IF(OR($H31="",$L31=""),"",IF($L31="n.a.","n.a.",$H31&amp;$L31))</f>
        <v/>
      </c>
      <c r="N31" s="14" t="str">
        <f aca="false">IF(OR($M31="",$M31="n.a."),"",IFERROR(VLOOKUP($M31,Справочник!$B$6:$D$14,2,FALSE()),""))</f>
        <v/>
      </c>
      <c r="O31" s="30" t="str">
        <f aca="false">IF($P31=1,RANK($E31,'Расчёт ABC-XYZ'!$E$5:$E$34)+COUNTIF($E$5:$E31,$E31)-1,"")</f>
        <v/>
      </c>
      <c r="P31" s="17" t="str">
        <f aca="false">IF('Ввод данных'!$Q31=1,1,"")</f>
        <v/>
      </c>
      <c r="Q31" s="31" t="str">
        <f aca="false">IF($P31&lt;&gt;1,"",IF($I31&lt;=0,"μ = 0: CV не определён — n.a.","σ / μ = "&amp;ROUND($J31,4)&amp;" / "&amp;ROUND($I31,4)&amp;" = "&amp;ROUND($K31/100,5)&amp;" = "&amp;ROUND($K31,3)&amp;" %"))</f>
        <v/>
      </c>
      <c r="R31" s="32" t="str">
        <f aca="false">$R30&amp;IF($M31="AX",IF($R30="","",", ")&amp;$A31,"")</f>
        <v>SKU-001</v>
      </c>
      <c r="S31" s="32" t="str">
        <f aca="false">$S30&amp;IF($L31="Y",IF($S30="","",", ")&amp;$A31,"")</f>
        <v>SKU-002</v>
      </c>
      <c r="T31" s="32" t="str">
        <f aca="false">$T30&amp;IF($M31="CZ",IF($T30="","",", ")&amp;$A31,"")</f>
        <v>SKU-004, SKU-005</v>
      </c>
    </row>
    <row r="32" customFormat="false" ht="15" hidden="false" customHeight="false" outlineLevel="0" collapsed="false">
      <c r="A32" s="24" t="str">
        <f aca="false">IF($P32=1,'Ввод данных'!$B32,"")</f>
        <v/>
      </c>
      <c r="B32" s="20" t="str">
        <f aca="false">IF($P32=1,'Ввод данных'!$C32,"")</f>
        <v/>
      </c>
      <c r="C32" s="25" t="str">
        <f aca="false">IF($P32=1,SUM('Ввод данных'!$E32:$P32),"")</f>
        <v/>
      </c>
      <c r="D32" s="25" t="str">
        <f aca="false">IF($P32=1,'Ввод данных'!$D32,"")</f>
        <v/>
      </c>
      <c r="E32" s="25" t="str">
        <f aca="false">IF($P32=1,$C32*$D32,"")</f>
        <v/>
      </c>
      <c r="F32" s="26" t="str">
        <f aca="false">IF(AND($P32=1,'Расчёт ABC-XYZ'!$E$35&gt;0),$E32/'Расчёт ABC-XYZ'!$E$35*100,"")</f>
        <v/>
      </c>
      <c r="G32" s="26" t="str">
        <f aca="false">IF(AND($P32=1,'Расчёт ABC-XYZ'!$E$35&gt;0),SUMIF('Расчёт ABC-XYZ'!$E$5:$E$34,"&gt;="&amp;$E32)/'Расчёт ABC-XYZ'!$E$35*100,"")</f>
        <v/>
      </c>
      <c r="H32" s="27" t="str">
        <f aca="false">IF($G32="","",IF($G32&lt;='Расчёт ABC-XYZ'!$C$39,"A",IF($G32&lt;='Расчёт ABC-XYZ'!$C$40,"B","C")))</f>
        <v/>
      </c>
      <c r="I32" s="28" t="str">
        <f aca="false">IF($P32=1,$C32/12,"")</f>
        <v/>
      </c>
      <c r="J32" s="28" t="str">
        <f aca="false">IF($P32=1,STDEVP('Ввод данных'!$E32:$P32),"")</f>
        <v/>
      </c>
      <c r="K32" s="26" t="str">
        <f aca="false">IF($P32=1,IF($I32&gt;0,$J32/$I32*100,"n.a."),"")</f>
        <v/>
      </c>
      <c r="L32" s="27" t="str">
        <f aca="false">IF($K32="","",IF(ISNUMBER($K32),IF($K32&lt;='Расчёт ABC-XYZ'!$C$41,"X",IF($K32&lt;='Расчёт ABC-XYZ'!$C$42,"Y","Z")),"n.a."))</f>
        <v/>
      </c>
      <c r="M32" s="29" t="str">
        <f aca="false">IF(OR($H32="",$L32=""),"",IF($L32="n.a.","n.a.",$H32&amp;$L32))</f>
        <v/>
      </c>
      <c r="N32" s="14" t="str">
        <f aca="false">IF(OR($M32="",$M32="n.a."),"",IFERROR(VLOOKUP($M32,Справочник!$B$6:$D$14,2,FALSE()),""))</f>
        <v/>
      </c>
      <c r="O32" s="30" t="str">
        <f aca="false">IF($P32=1,RANK($E32,'Расчёт ABC-XYZ'!$E$5:$E$34)+COUNTIF($E$5:$E32,$E32)-1,"")</f>
        <v/>
      </c>
      <c r="P32" s="17" t="str">
        <f aca="false">IF('Ввод данных'!$Q32=1,1,"")</f>
        <v/>
      </c>
      <c r="Q32" s="31" t="str">
        <f aca="false">IF($P32&lt;&gt;1,"",IF($I32&lt;=0,"μ = 0: CV не определён — n.a.","σ / μ = "&amp;ROUND($J32,4)&amp;" / "&amp;ROUND($I32,4)&amp;" = "&amp;ROUND($K32/100,5)&amp;" = "&amp;ROUND($K32,3)&amp;" %"))</f>
        <v/>
      </c>
      <c r="R32" s="32" t="str">
        <f aca="false">$R31&amp;IF($M32="AX",IF($R31="","",", ")&amp;$A32,"")</f>
        <v>SKU-001</v>
      </c>
      <c r="S32" s="32" t="str">
        <f aca="false">$S31&amp;IF($L32="Y",IF($S31="","",", ")&amp;$A32,"")</f>
        <v>SKU-002</v>
      </c>
      <c r="T32" s="32" t="str">
        <f aca="false">$T31&amp;IF($M32="CZ",IF($T31="","",", ")&amp;$A32,"")</f>
        <v>SKU-004, SKU-005</v>
      </c>
    </row>
    <row r="33" customFormat="false" ht="15" hidden="false" customHeight="false" outlineLevel="0" collapsed="false">
      <c r="A33" s="24" t="str">
        <f aca="false">IF($P33=1,'Ввод данных'!$B33,"")</f>
        <v/>
      </c>
      <c r="B33" s="20" t="str">
        <f aca="false">IF($P33=1,'Ввод данных'!$C33,"")</f>
        <v/>
      </c>
      <c r="C33" s="25" t="str">
        <f aca="false">IF($P33=1,SUM('Ввод данных'!$E33:$P33),"")</f>
        <v/>
      </c>
      <c r="D33" s="25" t="str">
        <f aca="false">IF($P33=1,'Ввод данных'!$D33,"")</f>
        <v/>
      </c>
      <c r="E33" s="25" t="str">
        <f aca="false">IF($P33=1,$C33*$D33,"")</f>
        <v/>
      </c>
      <c r="F33" s="26" t="str">
        <f aca="false">IF(AND($P33=1,'Расчёт ABC-XYZ'!$E$35&gt;0),$E33/'Расчёт ABC-XYZ'!$E$35*100,"")</f>
        <v/>
      </c>
      <c r="G33" s="26" t="str">
        <f aca="false">IF(AND($P33=1,'Расчёт ABC-XYZ'!$E$35&gt;0),SUMIF('Расчёт ABC-XYZ'!$E$5:$E$34,"&gt;="&amp;$E33)/'Расчёт ABC-XYZ'!$E$35*100,"")</f>
        <v/>
      </c>
      <c r="H33" s="27" t="str">
        <f aca="false">IF($G33="","",IF($G33&lt;='Расчёт ABC-XYZ'!$C$39,"A",IF($G33&lt;='Расчёт ABC-XYZ'!$C$40,"B","C")))</f>
        <v/>
      </c>
      <c r="I33" s="28" t="str">
        <f aca="false">IF($P33=1,$C33/12,"")</f>
        <v/>
      </c>
      <c r="J33" s="28" t="str">
        <f aca="false">IF($P33=1,STDEVP('Ввод данных'!$E33:$P33),"")</f>
        <v/>
      </c>
      <c r="K33" s="26" t="str">
        <f aca="false">IF($P33=1,IF($I33&gt;0,$J33/$I33*100,"n.a."),"")</f>
        <v/>
      </c>
      <c r="L33" s="27" t="str">
        <f aca="false">IF($K33="","",IF(ISNUMBER($K33),IF($K33&lt;='Расчёт ABC-XYZ'!$C$41,"X",IF($K33&lt;='Расчёт ABC-XYZ'!$C$42,"Y","Z")),"n.a."))</f>
        <v/>
      </c>
      <c r="M33" s="29" t="str">
        <f aca="false">IF(OR($H33="",$L33=""),"",IF($L33="n.a.","n.a.",$H33&amp;$L33))</f>
        <v/>
      </c>
      <c r="N33" s="14" t="str">
        <f aca="false">IF(OR($M33="",$M33="n.a."),"",IFERROR(VLOOKUP($M33,Справочник!$B$6:$D$14,2,FALSE()),""))</f>
        <v/>
      </c>
      <c r="O33" s="30" t="str">
        <f aca="false">IF($P33=1,RANK($E33,'Расчёт ABC-XYZ'!$E$5:$E$34)+COUNTIF($E$5:$E33,$E33)-1,"")</f>
        <v/>
      </c>
      <c r="P33" s="17" t="str">
        <f aca="false">IF('Ввод данных'!$Q33=1,1,"")</f>
        <v/>
      </c>
      <c r="Q33" s="31" t="str">
        <f aca="false">IF($P33&lt;&gt;1,"",IF($I33&lt;=0,"μ = 0: CV не определён — n.a.","σ / μ = "&amp;ROUND($J33,4)&amp;" / "&amp;ROUND($I33,4)&amp;" = "&amp;ROUND($K33/100,5)&amp;" = "&amp;ROUND($K33,3)&amp;" %"))</f>
        <v/>
      </c>
      <c r="R33" s="32" t="str">
        <f aca="false">$R32&amp;IF($M33="AX",IF($R32="","",", ")&amp;$A33,"")</f>
        <v>SKU-001</v>
      </c>
      <c r="S33" s="32" t="str">
        <f aca="false">$S32&amp;IF($L33="Y",IF($S32="","",", ")&amp;$A33,"")</f>
        <v>SKU-002</v>
      </c>
      <c r="T33" s="32" t="str">
        <f aca="false">$T32&amp;IF($M33="CZ",IF($T32="","",", ")&amp;$A33,"")</f>
        <v>SKU-004, SKU-005</v>
      </c>
    </row>
    <row r="34" customFormat="false" ht="15" hidden="false" customHeight="false" outlineLevel="0" collapsed="false">
      <c r="A34" s="24" t="str">
        <f aca="false">IF($P34=1,'Ввод данных'!$B34,"")</f>
        <v/>
      </c>
      <c r="B34" s="20" t="str">
        <f aca="false">IF($P34=1,'Ввод данных'!$C34,"")</f>
        <v/>
      </c>
      <c r="C34" s="25" t="str">
        <f aca="false">IF($P34=1,SUM('Ввод данных'!$E34:$P34),"")</f>
        <v/>
      </c>
      <c r="D34" s="25" t="str">
        <f aca="false">IF($P34=1,'Ввод данных'!$D34,"")</f>
        <v/>
      </c>
      <c r="E34" s="25" t="str">
        <f aca="false">IF($P34=1,$C34*$D34,"")</f>
        <v/>
      </c>
      <c r="F34" s="26" t="str">
        <f aca="false">IF(AND($P34=1,'Расчёт ABC-XYZ'!$E$35&gt;0),$E34/'Расчёт ABC-XYZ'!$E$35*100,"")</f>
        <v/>
      </c>
      <c r="G34" s="26" t="str">
        <f aca="false">IF(AND($P34=1,'Расчёт ABC-XYZ'!$E$35&gt;0),SUMIF('Расчёт ABC-XYZ'!$E$5:$E$34,"&gt;="&amp;$E34)/'Расчёт ABC-XYZ'!$E$35*100,"")</f>
        <v/>
      </c>
      <c r="H34" s="27" t="str">
        <f aca="false">IF($G34="","",IF($G34&lt;='Расчёт ABC-XYZ'!$C$39,"A",IF($G34&lt;='Расчёт ABC-XYZ'!$C$40,"B","C")))</f>
        <v/>
      </c>
      <c r="I34" s="28" t="str">
        <f aca="false">IF($P34=1,$C34/12,"")</f>
        <v/>
      </c>
      <c r="J34" s="28" t="str">
        <f aca="false">IF($P34=1,STDEVP('Ввод данных'!$E34:$P34),"")</f>
        <v/>
      </c>
      <c r="K34" s="26" t="str">
        <f aca="false">IF($P34=1,IF($I34&gt;0,$J34/$I34*100,"n.a."),"")</f>
        <v/>
      </c>
      <c r="L34" s="27" t="str">
        <f aca="false">IF($K34="","",IF(ISNUMBER($K34),IF($K34&lt;='Расчёт ABC-XYZ'!$C$41,"X",IF($K34&lt;='Расчёт ABC-XYZ'!$C$42,"Y","Z")),"n.a."))</f>
        <v/>
      </c>
      <c r="M34" s="29" t="str">
        <f aca="false">IF(OR($H34="",$L34=""),"",IF($L34="n.a.","n.a.",$H34&amp;$L34))</f>
        <v/>
      </c>
      <c r="N34" s="14" t="str">
        <f aca="false">IF(OR($M34="",$M34="n.a."),"",IFERROR(VLOOKUP($M34,Справочник!$B$6:$D$14,2,FALSE()),""))</f>
        <v/>
      </c>
      <c r="O34" s="30" t="str">
        <f aca="false">IF($P34=1,RANK($E34,'Расчёт ABC-XYZ'!$E$5:$E$34)+COUNTIF($E$5:$E34,$E34)-1,"")</f>
        <v/>
      </c>
      <c r="P34" s="17" t="str">
        <f aca="false">IF('Ввод данных'!$Q34=1,1,"")</f>
        <v/>
      </c>
      <c r="Q34" s="31" t="str">
        <f aca="false">IF($P34&lt;&gt;1,"",IF($I34&lt;=0,"μ = 0: CV не определён — n.a.","σ / μ = "&amp;ROUND($J34,4)&amp;" / "&amp;ROUND($I34,4)&amp;" = "&amp;ROUND($K34/100,5)&amp;" = "&amp;ROUND($K34,3)&amp;" %"))</f>
        <v/>
      </c>
      <c r="R34" s="32" t="str">
        <f aca="false">$R33&amp;IF($M34="AX",IF($R33="","",", ")&amp;$A34,"")</f>
        <v>SKU-001</v>
      </c>
      <c r="S34" s="32" t="str">
        <f aca="false">$S33&amp;IF($L34="Y",IF($S33="","",", ")&amp;$A34,"")</f>
        <v>SKU-002</v>
      </c>
      <c r="T34" s="32" t="str">
        <f aca="false">$T33&amp;IF($M34="CZ",IF($T33="","",", ")&amp;$A34,"")</f>
        <v>SKU-004, SKU-005</v>
      </c>
    </row>
    <row r="35" customFormat="false" ht="21.75" hidden="false" customHeight="true" outlineLevel="0" collapsed="false">
      <c r="A35" s="33" t="s">
        <v>113</v>
      </c>
      <c r="B35" s="32" t="s">
        <v>114</v>
      </c>
      <c r="C35" s="34" t="n">
        <f aca="false">SUM('Расчёт ABC-XYZ'!$C$5:$C$34)</f>
        <v>3014</v>
      </c>
      <c r="D35" s="21"/>
      <c r="E35" s="35" t="n">
        <f aca="false">SUM('Расчёт ABC-XYZ'!$E$5:$E$34)</f>
        <v>3189200</v>
      </c>
      <c r="F35" s="36" t="n">
        <f aca="false">IF(SUM('Расчёт ABC-XYZ'!$E$5:$E$34)=0,"",SUM('Расчёт ABC-XYZ'!$F$5:$F$34))</f>
        <v>100</v>
      </c>
      <c r="G35" s="21"/>
      <c r="H35" s="21"/>
      <c r="I35" s="21"/>
      <c r="J35" s="21"/>
      <c r="K35" s="21"/>
      <c r="L35" s="21"/>
      <c r="M35" s="21"/>
      <c r="N35" s="21"/>
      <c r="O35" s="21"/>
      <c r="P35" s="37" t="n">
        <f aca="false">COUNTIF('Расчёт ABC-XYZ'!$P$5:$P$34,1)</f>
        <v>5</v>
      </c>
      <c r="Q35" s="32" t="str">
        <f aca="false">"сумма долей = "&amp;ROUND(SUM('Расчёт ABC-XYZ'!$F$5:$F$34),1)&amp;" % при "&amp;COUNTIF('Расчёт ABC-XYZ'!$P$5:$P$34,1)&amp;" SKU"</f>
        <v>сумма долей = 100 % при 5 SKU</v>
      </c>
    </row>
    <row r="37" customFormat="false" ht="21.75" hidden="false" customHeight="true" outlineLevel="0" collapsed="false">
      <c r="B37" s="3" t="s">
        <v>115</v>
      </c>
    </row>
    <row r="38" customFormat="false" ht="21.75" hidden="false" customHeight="true" outlineLevel="0" collapsed="false">
      <c r="B38" s="12" t="s">
        <v>116</v>
      </c>
      <c r="C38" s="12" t="s">
        <v>117</v>
      </c>
      <c r="D38" s="12" t="s">
        <v>118</v>
      </c>
      <c r="E38" s="12" t="s">
        <v>119</v>
      </c>
      <c r="F38" s="12"/>
      <c r="G38" s="12"/>
      <c r="H38" s="12"/>
      <c r="I38" s="12"/>
      <c r="J38" s="12"/>
    </row>
    <row r="39" customFormat="false" ht="15" hidden="false" customHeight="true" outlineLevel="0" collapsed="false">
      <c r="B39" s="21" t="s">
        <v>120</v>
      </c>
      <c r="C39" s="38" t="n">
        <v>80</v>
      </c>
      <c r="D39" s="17" t="s">
        <v>121</v>
      </c>
      <c r="E39" s="14" t="s">
        <v>122</v>
      </c>
      <c r="F39" s="14"/>
      <c r="G39" s="14"/>
      <c r="H39" s="14"/>
      <c r="I39" s="14"/>
      <c r="J39" s="14"/>
    </row>
    <row r="40" customFormat="false" ht="15" hidden="false" customHeight="true" outlineLevel="0" collapsed="false">
      <c r="B40" s="21" t="s">
        <v>123</v>
      </c>
      <c r="C40" s="38" t="n">
        <v>95</v>
      </c>
      <c r="D40" s="17" t="s">
        <v>121</v>
      </c>
      <c r="E40" s="14" t="s">
        <v>124</v>
      </c>
      <c r="F40" s="14"/>
      <c r="G40" s="14"/>
      <c r="H40" s="14"/>
      <c r="I40" s="14"/>
      <c r="J40" s="14"/>
    </row>
    <row r="41" customFormat="false" ht="23.85" hidden="false" customHeight="true" outlineLevel="0" collapsed="false">
      <c r="B41" s="21" t="s">
        <v>125</v>
      </c>
      <c r="C41" s="38" t="n">
        <v>25</v>
      </c>
      <c r="D41" s="17" t="s">
        <v>121</v>
      </c>
      <c r="E41" s="14" t="s">
        <v>126</v>
      </c>
      <c r="F41" s="14"/>
      <c r="G41" s="14"/>
      <c r="H41" s="14"/>
      <c r="I41" s="14"/>
      <c r="J41" s="14"/>
    </row>
    <row r="42" customFormat="false" ht="15" hidden="false" customHeight="true" outlineLevel="0" collapsed="false">
      <c r="B42" s="21" t="s">
        <v>127</v>
      </c>
      <c r="C42" s="38" t="n">
        <v>50</v>
      </c>
      <c r="D42" s="17" t="s">
        <v>121</v>
      </c>
      <c r="E42" s="14" t="s">
        <v>128</v>
      </c>
      <c r="F42" s="14"/>
      <c r="G42" s="14"/>
      <c r="H42" s="14"/>
      <c r="I42" s="14"/>
      <c r="J42" s="14"/>
    </row>
    <row r="44" customFormat="false" ht="25.5" hidden="false" customHeight="true" outlineLevel="0" collapsed="false">
      <c r="B44" s="15" t="s">
        <v>129</v>
      </c>
      <c r="C44" s="15"/>
      <c r="D44" s="15"/>
      <c r="E44" s="15"/>
      <c r="F44" s="15"/>
      <c r="G44" s="15"/>
      <c r="H44" s="15"/>
      <c r="I44" s="15"/>
      <c r="J44" s="15"/>
    </row>
  </sheetData>
  <mergeCells count="8">
    <mergeCell ref="B1:Q1"/>
    <mergeCell ref="B2:Q2"/>
    <mergeCell ref="E38:J38"/>
    <mergeCell ref="E39:J39"/>
    <mergeCell ref="E40:J40"/>
    <mergeCell ref="E41:J41"/>
    <mergeCell ref="E42:J42"/>
    <mergeCell ref="B44:J44"/>
  </mergeCells>
  <conditionalFormatting sqref="M5:M34">
    <cfRule type="expression" priority="2" aboveAverage="0" equalAverage="0" bottom="0" percent="0" rank="0" text="" dxfId="3">
      <formula>$M5="AX"</formula>
    </cfRule>
    <cfRule type="expression" priority="3" aboveAverage="0" equalAverage="0" bottom="0" percent="0" rank="0" text="" dxfId="1">
      <formula>$M5="CZ"</formula>
    </cfRule>
    <cfRule type="expression" priority="4" aboveAverage="0" equalAverage="0" bottom="0" percent="0" rank="0" text="" dxfId="2">
      <formula>$M5="n.a."</formula>
    </cfRule>
  </conditionalFormatting>
  <conditionalFormatting sqref="H5:H34">
    <cfRule type="expression" priority="5" aboveAverage="0" equalAverage="0" bottom="0" percent="0" rank="0" text="" dxfId="4">
      <formula>$H5="A"</formula>
    </cfRule>
  </conditionalFormatting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Курс «Управление запасами» · Дмитрий Фролов · урок 1.2 · SCM_1_2_ABC_XYZ_Template.xlsx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9AA0"/>
    <pageSetUpPr fitToPage="true"/>
  </sheetPr>
  <dimension ref="B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5" min="3" style="0" width="19"/>
    <col collapsed="false" customWidth="true" hidden="false" outlineLevel="0" max="6" min="6" style="0" width="17"/>
    <col collapsed="false" customWidth="true" hidden="false" outlineLevel="0" max="7" min="7" style="0" width="24"/>
    <col collapsed="false" customWidth="true" hidden="false" outlineLevel="0" max="8" min="8" style="0" width="3"/>
  </cols>
  <sheetData>
    <row r="1" customFormat="false" ht="30" hidden="false" customHeight="true" outlineLevel="0" collapsed="false">
      <c r="B1" s="1" t="s">
        <v>130</v>
      </c>
      <c r="C1" s="1"/>
      <c r="D1" s="1"/>
      <c r="E1" s="1"/>
      <c r="F1" s="1"/>
      <c r="G1" s="1"/>
    </row>
    <row r="2" customFormat="false" ht="30" hidden="false" customHeight="true" outlineLevel="0" collapsed="false">
      <c r="B2" s="2" t="s">
        <v>131</v>
      </c>
      <c r="C2" s="2"/>
      <c r="D2" s="2"/>
      <c r="E2" s="2"/>
      <c r="F2" s="2"/>
      <c r="G2" s="2"/>
    </row>
    <row r="4" customFormat="false" ht="18" hidden="false" customHeight="true" outlineLevel="0" collapsed="false">
      <c r="B4" s="39" t="s">
        <v>132</v>
      </c>
      <c r="C4" s="40" t="s">
        <v>133</v>
      </c>
      <c r="D4" s="40" t="s">
        <v>134</v>
      </c>
      <c r="E4" s="40" t="s">
        <v>135</v>
      </c>
      <c r="F4" s="41" t="s">
        <v>136</v>
      </c>
    </row>
    <row r="5" customFormat="false" ht="33.75" hidden="false" customHeight="true" outlineLevel="0" collapsed="false">
      <c r="B5" s="42" t="n">
        <f aca="false">IF('Расчёт ABC-XYZ'!$P$35=0,"—",MAX('Расчёт ABC-XYZ'!$F$5:$F$34))</f>
        <v>69.6099335256491</v>
      </c>
      <c r="C5" s="43" t="n">
        <f aca="false">IF('Расчёт ABC-XYZ'!$P$35=0,"—",SUMIF('Расчёт ABC-XYZ'!$H$5:$H$34,"A",'Расчёт ABC-XYZ'!$F$5:$F$34))</f>
        <v>69.6099335256491</v>
      </c>
      <c r="D5" s="43" t="n">
        <f aca="false">IF(COUNT('Расчёт ABC-XYZ'!$K$5:$K$34)=0,"—",MIN('Расчёт ABC-XYZ'!$K$5:$K$34))</f>
        <v>3.94909167464931</v>
      </c>
      <c r="E5" s="43" t="n">
        <f aca="false">IF(COUNT('Расчёт ABC-XYZ'!$K$5:$K$34)=0,"—",MAX('Расчёт ABC-XYZ'!$K$5:$K$34))</f>
        <v>77.0551750371122</v>
      </c>
      <c r="F5" s="44" t="n">
        <f aca="false">COUNTIF('Расчёт ABC-XYZ'!$M$5:$M$34,"CZ")</f>
        <v>2</v>
      </c>
    </row>
    <row r="6" customFormat="false" ht="31.5" hidden="false" customHeight="true" outlineLevel="0" collapsed="false">
      <c r="B6" s="45" t="str">
        <f aca="false">IF('Расчёт ABC-XYZ'!$P$35=0,"нет данных",INDEX('Расчёт ABC-XYZ'!$A$5:$A$34,MATCH(MAX('Расчёт ABC-XYZ'!$F$5:$F$34),'Расчёт ABC-XYZ'!$F$5:$F$34,0))&amp;" · доля в выручке")</f>
        <v>SKU-001 · доля в выручке</v>
      </c>
      <c r="C6" s="46" t="str">
        <f aca="false">"доля в выручке · "&amp;COUNTIF('Расчёт ABC-XYZ'!$H$5:$H$34,"A")&amp;" SKU из "&amp;'Расчёт ABC-XYZ'!$P$35</f>
        <v>доля в выручке · 1 SKU из 5</v>
      </c>
      <c r="D6" s="46" t="str">
        <f aca="false">IF(COUNT('Расчёт ABC-XYZ'!$K$5:$K$34)=0,"нет данных",INDEX('Расчёт ABC-XYZ'!$A$5:$A$34,MATCH(MIN('Расчёт ABC-XYZ'!$K$5:$K$34),'Расчёт ABC-XYZ'!$K$5:$K$34,0))&amp;" · самый ровный спрос")</f>
        <v>SKU-001 · самый ровный спрос</v>
      </c>
      <c r="E6" s="46" t="str">
        <f aca="false">IF(COUNT('Расчёт ABC-XYZ'!$K$5:$K$34)=0,"нет данных",INDEX('Расчёт ABC-XYZ'!$A$5:$A$34,MATCH(MAX('Расчёт ABC-XYZ'!$K$5:$K$34),'Расчёт ABC-XYZ'!$K$5:$K$34,0))&amp;" · самый неровный спрос")</f>
        <v>SKU-005 · самый неровный спрос</v>
      </c>
      <c r="F6" s="47" t="str">
        <f aca="false">IF(COUNTIF('Расчёт ABC-XYZ'!$M$5:$M$34,"CZ")=0,"в данных нет CZ",ROUND(SUMIF('Расчёт ABC-XYZ'!$M$5:$M$34,"CZ",'Расчёт ABC-XYZ'!$F$5:$F$34),1)&amp;" % выручки · проверить критичность")</f>
        <v>2.6 % выручки · проверить критичность</v>
      </c>
    </row>
    <row r="8" customFormat="false" ht="21.75" hidden="false" customHeight="true" outlineLevel="0" collapsed="false">
      <c r="B8" s="3" t="s">
        <v>137</v>
      </c>
    </row>
    <row r="9" customFormat="false" ht="33.75" hidden="false" customHeight="true" outlineLevel="0" collapsed="false">
      <c r="B9" s="12" t="s">
        <v>138</v>
      </c>
      <c r="C9" s="12" t="s">
        <v>139</v>
      </c>
      <c r="D9" s="12" t="s">
        <v>140</v>
      </c>
      <c r="E9" s="12" t="s">
        <v>141</v>
      </c>
      <c r="F9" s="12" t="s">
        <v>142</v>
      </c>
      <c r="G9" s="15" t="s">
        <v>143</v>
      </c>
    </row>
    <row r="10" customFormat="false" ht="21.75" hidden="false" customHeight="true" outlineLevel="0" collapsed="false">
      <c r="B10" s="48" t="s">
        <v>144</v>
      </c>
      <c r="C10" s="49" t="n">
        <f aca="false">IF(COUNTIFS('Расчёт ABC-XYZ'!$H$5:$H$34,"A",'Расчёт ABC-XYZ'!$L$5:$L$34,"X")=0,"—",COUNTIFS('Расчёт ABC-XYZ'!$H$5:$H$34,"A",'Расчёт ABC-XYZ'!$L$5:$L$34,"X"))</f>
        <v>1</v>
      </c>
      <c r="D10" s="50" t="str">
        <f aca="false">IF(COUNTIFS('Расчёт ABC-XYZ'!$H$5:$H$34,"A",'Расчёт ABC-XYZ'!$L$5:$L$34,"Y")=0,"—",COUNTIFS('Расчёт ABC-XYZ'!$H$5:$H$34,"A",'Расчёт ABC-XYZ'!$L$5:$L$34,"Y"))</f>
        <v>—</v>
      </c>
      <c r="E10" s="50" t="str">
        <f aca="false">IF(COUNTIFS('Расчёт ABC-XYZ'!$H$5:$H$34,"A",'Расчёт ABC-XYZ'!$L$5:$L$34,"Z")=0,"—",COUNTIFS('Расчёт ABC-XYZ'!$H$5:$H$34,"A",'Расчёт ABC-XYZ'!$L$5:$L$34,"Z"))</f>
        <v>—</v>
      </c>
      <c r="F10" s="51" t="n">
        <f aca="false">IF(COUNTIF('Расчёт ABC-XYZ'!$H$5:$H$34,"A")=0,"—",COUNTIF('Расчёт ABC-XYZ'!$H$5:$H$34,"A"))</f>
        <v>1</v>
      </c>
      <c r="G10" s="15"/>
    </row>
    <row r="11" customFormat="false" ht="18" hidden="false" customHeight="true" outlineLevel="0" collapsed="false">
      <c r="B11" s="32" t="s">
        <v>145</v>
      </c>
      <c r="C11" s="52" t="n">
        <f aca="false">IF(COUNTIFS('Расчёт ABC-XYZ'!$H$5:$H$34,"A",'Расчёт ABC-XYZ'!$L$5:$L$34,"X")=0,"—",SUMIFS('Расчёт ABC-XYZ'!$F$5:$F$34,'Расчёт ABC-XYZ'!$H$5:$H$34,"A",'Расчёт ABC-XYZ'!$L$5:$L$34,"X"))</f>
        <v>69.6099335256491</v>
      </c>
      <c r="D11" s="53" t="str">
        <f aca="false">IF(COUNTIFS('Расчёт ABC-XYZ'!$H$5:$H$34,"A",'Расчёт ABC-XYZ'!$L$5:$L$34,"Y")=0,"—",SUMIFS('Расчёт ABC-XYZ'!$F$5:$F$34,'Расчёт ABC-XYZ'!$H$5:$H$34,"A",'Расчёт ABC-XYZ'!$L$5:$L$34,"Y"))</f>
        <v>—</v>
      </c>
      <c r="E11" s="53" t="str">
        <f aca="false">IF(COUNTIFS('Расчёт ABC-XYZ'!$H$5:$H$34,"A",'Расчёт ABC-XYZ'!$L$5:$L$34,"Z")=0,"—",SUMIFS('Расчёт ABC-XYZ'!$F$5:$F$34,'Расчёт ABC-XYZ'!$H$5:$H$34,"A",'Расчёт ABC-XYZ'!$L$5:$L$34,"Z"))</f>
        <v>—</v>
      </c>
      <c r="F11" s="54" t="n">
        <f aca="false">IF(COUNTIF('Расчёт ABC-XYZ'!$H$5:$H$34,"A")=0,"—",SUMIF('Расчёт ABC-XYZ'!$H$5:$H$34,"A",'Расчёт ABC-XYZ'!$F$5:$F$34))</f>
        <v>69.6099335256491</v>
      </c>
      <c r="G11" s="15"/>
    </row>
    <row r="12" customFormat="false" ht="21.75" hidden="false" customHeight="true" outlineLevel="0" collapsed="false">
      <c r="B12" s="48" t="s">
        <v>146</v>
      </c>
      <c r="C12" s="50" t="str">
        <f aca="false">IF(COUNTIFS('Расчёт ABC-XYZ'!$H$5:$H$34,"B",'Расчёт ABC-XYZ'!$L$5:$L$34,"X")=0,"—",COUNTIFS('Расчёт ABC-XYZ'!$H$5:$H$34,"B",'Расчёт ABC-XYZ'!$L$5:$L$34,"X"))</f>
        <v>—</v>
      </c>
      <c r="D12" s="55" t="n">
        <f aca="false">IF(COUNTIFS('Расчёт ABC-XYZ'!$H$5:$H$34,"B",'Расчёт ABC-XYZ'!$L$5:$L$34,"Y")=0,"—",COUNTIFS('Расчёт ABC-XYZ'!$H$5:$H$34,"B",'Расчёт ABC-XYZ'!$L$5:$L$34,"Y"))</f>
        <v>1</v>
      </c>
      <c r="E12" s="50" t="str">
        <f aca="false">IF(COUNTIFS('Расчёт ABC-XYZ'!$H$5:$H$34,"B",'Расчёт ABC-XYZ'!$L$5:$L$34,"Z")=0,"—",COUNTIFS('Расчёт ABC-XYZ'!$H$5:$H$34,"B",'Расчёт ABC-XYZ'!$L$5:$L$34,"Z"))</f>
        <v>—</v>
      </c>
      <c r="F12" s="51" t="n">
        <f aca="false">IF(COUNTIF('Расчёт ABC-XYZ'!$H$5:$H$34,"B")=0,"—",COUNTIF('Расчёт ABC-XYZ'!$H$5:$H$34,"B"))</f>
        <v>1</v>
      </c>
      <c r="G12" s="15"/>
    </row>
    <row r="13" customFormat="false" ht="18" hidden="false" customHeight="true" outlineLevel="0" collapsed="false">
      <c r="B13" s="32" t="s">
        <v>145</v>
      </c>
      <c r="C13" s="53" t="str">
        <f aca="false">IF(COUNTIFS('Расчёт ABC-XYZ'!$H$5:$H$34,"B",'Расчёт ABC-XYZ'!$L$5:$L$34,"X")=0,"—",SUMIFS('Расчёт ABC-XYZ'!$F$5:$F$34,'Расчёт ABC-XYZ'!$H$5:$H$34,"B",'Расчёт ABC-XYZ'!$L$5:$L$34,"X"))</f>
        <v>—</v>
      </c>
      <c r="D13" s="56" t="n">
        <f aca="false">IF(COUNTIFS('Расчёт ABC-XYZ'!$H$5:$H$34,"B",'Расчёт ABC-XYZ'!$L$5:$L$34,"Y")=0,"—",SUMIFS('Расчёт ABC-XYZ'!$F$5:$F$34,'Расчёт ABC-XYZ'!$H$5:$H$34,"B",'Расчёт ABC-XYZ'!$L$5:$L$34,"Y"))</f>
        <v>21.8236548350684</v>
      </c>
      <c r="E13" s="53" t="str">
        <f aca="false">IF(COUNTIFS('Расчёт ABC-XYZ'!$H$5:$H$34,"B",'Расчёт ABC-XYZ'!$L$5:$L$34,"Z")=0,"—",SUMIFS('Расчёт ABC-XYZ'!$F$5:$F$34,'Расчёт ABC-XYZ'!$H$5:$H$34,"B",'Расчёт ABC-XYZ'!$L$5:$L$34,"Z"))</f>
        <v>—</v>
      </c>
      <c r="F13" s="54" t="n">
        <f aca="false">IF(COUNTIF('Расчёт ABC-XYZ'!$H$5:$H$34,"B")=0,"—",SUMIF('Расчёт ABC-XYZ'!$H$5:$H$34,"B",'Расчёт ABC-XYZ'!$F$5:$F$34))</f>
        <v>21.8236548350684</v>
      </c>
      <c r="G13" s="15"/>
    </row>
    <row r="14" customFormat="false" ht="21.75" hidden="false" customHeight="true" outlineLevel="0" collapsed="false">
      <c r="B14" s="48" t="s">
        <v>147</v>
      </c>
      <c r="C14" s="50" t="n">
        <f aca="false">IF(COUNTIFS('Расчёт ABC-XYZ'!$H$5:$H$34,"C",'Расчёт ABC-XYZ'!$L$5:$L$34,"X")=0,"—",COUNTIFS('Расчёт ABC-XYZ'!$H$5:$H$34,"C",'Расчёт ABC-XYZ'!$L$5:$L$34,"X"))</f>
        <v>1</v>
      </c>
      <c r="D14" s="50" t="str">
        <f aca="false">IF(COUNTIFS('Расчёт ABC-XYZ'!$H$5:$H$34,"C",'Расчёт ABC-XYZ'!$L$5:$L$34,"Y")=0,"—",COUNTIFS('Расчёт ABC-XYZ'!$H$5:$H$34,"C",'Расчёт ABC-XYZ'!$L$5:$L$34,"Y"))</f>
        <v>—</v>
      </c>
      <c r="E14" s="57" t="n">
        <f aca="false">IF(COUNTIFS('Расчёт ABC-XYZ'!$H$5:$H$34,"C",'Расчёт ABC-XYZ'!$L$5:$L$34,"Z")=0,"—",COUNTIFS('Расчёт ABC-XYZ'!$H$5:$H$34,"C",'Расчёт ABC-XYZ'!$L$5:$L$34,"Z"))</f>
        <v>2</v>
      </c>
      <c r="F14" s="51" t="n">
        <f aca="false">IF(COUNTIF('Расчёт ABC-XYZ'!$H$5:$H$34,"C")=0,"—",COUNTIF('Расчёт ABC-XYZ'!$H$5:$H$34,"C"))</f>
        <v>3</v>
      </c>
      <c r="G14" s="15"/>
    </row>
    <row r="15" customFormat="false" ht="18" hidden="false" customHeight="true" outlineLevel="0" collapsed="false">
      <c r="B15" s="32" t="s">
        <v>145</v>
      </c>
      <c r="C15" s="53" t="n">
        <f aca="false">IF(COUNTIFS('Расчёт ABC-XYZ'!$H$5:$H$34,"C",'Расчёт ABC-XYZ'!$L$5:$L$34,"X")=0,"—",SUMIFS('Расчёт ABC-XYZ'!$F$5:$F$34,'Расчёт ABC-XYZ'!$H$5:$H$34,"C",'Расчёт ABC-XYZ'!$L$5:$L$34,"X"))</f>
        <v>5.92625109745391</v>
      </c>
      <c r="D15" s="53" t="str">
        <f aca="false">IF(COUNTIFS('Расчёт ABC-XYZ'!$H$5:$H$34,"C",'Расчёт ABC-XYZ'!$L$5:$L$34,"Y")=0,"—",SUMIFS('Расчёт ABC-XYZ'!$F$5:$F$34,'Расчёт ABC-XYZ'!$H$5:$H$34,"C",'Расчёт ABC-XYZ'!$L$5:$L$34,"Y"))</f>
        <v>—</v>
      </c>
      <c r="E15" s="58" t="n">
        <f aca="false">IF(COUNTIFS('Расчёт ABC-XYZ'!$H$5:$H$34,"C",'Расчёт ABC-XYZ'!$L$5:$L$34,"Z")=0,"—",SUMIFS('Расчёт ABC-XYZ'!$F$5:$F$34,'Расчёт ABC-XYZ'!$H$5:$H$34,"C",'Расчёт ABC-XYZ'!$L$5:$L$34,"Z"))</f>
        <v>2.64016054182867</v>
      </c>
      <c r="F15" s="54" t="n">
        <f aca="false">IF(COUNTIF('Расчёт ABC-XYZ'!$H$5:$H$34,"C")=0,"—",SUMIF('Расчёт ABC-XYZ'!$H$5:$H$34,"C",'Расчёт ABC-XYZ'!$F$5:$F$34))</f>
        <v>8.56641163928258</v>
      </c>
      <c r="G15" s="15"/>
    </row>
    <row r="16" customFormat="false" ht="21.75" hidden="false" customHeight="true" outlineLevel="0" collapsed="false">
      <c r="B16" s="48" t="s">
        <v>142</v>
      </c>
      <c r="C16" s="51" t="n">
        <f aca="false">IF(COUNTIF('Расчёт ABC-XYZ'!$L$5:$L$34,"X")=0,"—",COUNTIF('Расчёт ABC-XYZ'!$L$5:$L$34,"X"))</f>
        <v>2</v>
      </c>
      <c r="D16" s="51" t="n">
        <f aca="false">IF(COUNTIF('Расчёт ABC-XYZ'!$L$5:$L$34,"Y")=0,"—",COUNTIF('Расчёт ABC-XYZ'!$L$5:$L$34,"Y"))</f>
        <v>1</v>
      </c>
      <c r="E16" s="51" t="n">
        <f aca="false">IF(COUNTIF('Расчёт ABC-XYZ'!$L$5:$L$34,"Z")=0,"—",COUNTIF('Расчёт ABC-XYZ'!$L$5:$L$34,"Z"))</f>
        <v>2</v>
      </c>
      <c r="F16" s="59" t="n">
        <f aca="false">'Расчёт ABC-XYZ'!$P$35</f>
        <v>5</v>
      </c>
      <c r="G16" s="15"/>
    </row>
    <row r="17" customFormat="false" ht="18" hidden="false" customHeight="true" outlineLevel="0" collapsed="false">
      <c r="B17" s="32" t="s">
        <v>145</v>
      </c>
      <c r="C17" s="54" t="n">
        <f aca="false">IF(COUNTIF('Расчёт ABC-XYZ'!$L$5:$L$34,"X")=0,"—",SUMIF('Расчёт ABC-XYZ'!$L$5:$L$34,"X",'Расчёт ABC-XYZ'!$F$5:$F$34))</f>
        <v>75.536184623103</v>
      </c>
      <c r="D17" s="54" t="n">
        <f aca="false">IF(COUNTIF('Расчёт ABC-XYZ'!$L$5:$L$34,"Y")=0,"—",SUMIF('Расчёт ABC-XYZ'!$L$5:$L$34,"Y",'Расчёт ABC-XYZ'!$F$5:$F$34))</f>
        <v>21.8236548350684</v>
      </c>
      <c r="E17" s="54" t="n">
        <f aca="false">IF(COUNTIF('Расчёт ABC-XYZ'!$L$5:$L$34,"Z")=0,"—",SUMIF('Расчёт ABC-XYZ'!$L$5:$L$34,"Z",'Расчёт ABC-XYZ'!$F$5:$F$34))</f>
        <v>2.64016054182867</v>
      </c>
      <c r="F17" s="52" t="n">
        <f aca="false">IF('Расчёт ABC-XYZ'!$P$35=0,"—",SUM('Расчёт ABC-XYZ'!$F$5:$F$34))</f>
        <v>100</v>
      </c>
      <c r="G17" s="15"/>
    </row>
    <row r="19" customFormat="false" ht="21.75" hidden="false" customHeight="true" outlineLevel="0" collapsed="false">
      <c r="B19" s="3" t="s">
        <v>148</v>
      </c>
    </row>
    <row r="20" customFormat="false" ht="21.75" hidden="false" customHeight="true" outlineLevel="0" collapsed="false">
      <c r="B20" s="12" t="s">
        <v>149</v>
      </c>
      <c r="C20" s="12" t="s">
        <v>150</v>
      </c>
      <c r="D20" s="12"/>
      <c r="E20" s="12" t="s">
        <v>151</v>
      </c>
      <c r="F20" s="12"/>
      <c r="G20" s="12"/>
    </row>
    <row r="21" customFormat="false" ht="31.5" hidden="false" customHeight="true" outlineLevel="0" collapsed="false">
      <c r="B21" s="60" t="s">
        <v>152</v>
      </c>
      <c r="C21" s="61" t="str">
        <f aca="false">IF('Расчёт ABC-XYZ'!$R$34="","в данных нет сегмента AX",'Расчёт ABC-XYZ'!$R$34)</f>
        <v>SKU-001</v>
      </c>
      <c r="D21" s="61"/>
      <c r="E21" s="62" t="str">
        <f aca="false">IF('Расчёт ABC-XYZ'!$R$34="","сегмент AX — это группа A и группа X одновременно","сегмент AX: доля "&amp;ROUND(INDEX('Расчёт ABC-XYZ'!$F$5:$F$34,MATCH("AX",'Расчёт ABC-XYZ'!$M$5:$M$34,0)),1)&amp;" % выручки и CV "&amp;ROUND(INDEX('Расчёт ABC-XYZ'!$K$5:$K$34,MATCH("AX",'Расчёт ABC-XYZ'!$M$5:$M$34,0)),1)&amp;" % — ниже порога X")</f>
        <v>сегмент AX: доля 69.6 % выручки и CV 3.9 % — ниже порога X</v>
      </c>
      <c r="F21" s="62"/>
      <c r="G21" s="62"/>
    </row>
    <row r="22" customFormat="false" ht="31.5" hidden="false" customHeight="true" outlineLevel="0" collapsed="false">
      <c r="B22" s="60" t="s">
        <v>153</v>
      </c>
      <c r="C22" s="61" t="str">
        <f aca="false">IF('Расчёт ABC-XYZ'!$S$34="","в данных нет группы Y",'Расчёт ABC-XYZ'!$S$34)</f>
        <v>SKU-002</v>
      </c>
      <c r="D22" s="61"/>
      <c r="E22" s="62" t="str">
        <f aca="false">IF('Расчёт ABC-XYZ'!$S$34="","группа Y — это CV между порогами X и Y","CV "&amp;ROUND(INDEX('Расчёт ABC-XYZ'!$K$5:$K$34,MATCH("Y",'Расчёт ABC-XYZ'!$L$5:$L$34,0)),1)&amp;" % — между "&amp;ROUND('Расчёт ABC-XYZ'!$C$41,0)&amp;" % и "&amp;ROUND('Расчёт ABC-XYZ'!$C$42,0)&amp;" %; по выручке это группа "&amp;INDEX('Расчёт ABC-XYZ'!$H$5:$H$34,MATCH("Y",'Расчёт ABC-XYZ'!$L$5:$L$34,0)))</f>
        <v>CV 27.2 % — между 25 % и 50 %; по выручке это группа B</v>
      </c>
      <c r="F22" s="62"/>
      <c r="G22" s="62"/>
    </row>
    <row r="23" customFormat="false" ht="31.5" hidden="false" customHeight="true" outlineLevel="0" collapsed="false">
      <c r="B23" s="60" t="s">
        <v>154</v>
      </c>
      <c r="C23" s="61" t="str">
        <f aca="false">IF('Расчёт ABC-XYZ'!$T$34="","в данных нет сегмента CZ",'Расчёт ABC-XYZ'!$T$34)</f>
        <v>SKU-004, SKU-005</v>
      </c>
      <c r="D23" s="61"/>
      <c r="E23" s="62" t="str">
        <f aca="false">IF('Расчёт ABC-XYZ'!$T$34="","сегмент CZ — это группа C и CV выше порога Y","вместе "&amp;ROUND(SUMIF('Расчёт ABC-XYZ'!$M$5:$M$34,"CZ",'Расчёт ABC-XYZ'!$F$5:$F$34),1)&amp;" % выручки при CV выше "&amp;ROUND('Расчёт ABC-XYZ'!$C$42,0)&amp;" % — проверить критичность до решения")</f>
        <v>вместе 2.6 % выручки при CV выше 50 % — проверить критичность до решения</v>
      </c>
      <c r="F23" s="62"/>
      <c r="G23" s="62"/>
    </row>
    <row r="24" customFormat="false" ht="31.5" hidden="false" customHeight="true" outlineLevel="0" collapsed="false">
      <c r="B24" s="60" t="s">
        <v>155</v>
      </c>
      <c r="C24" s="61" t="str">
        <f aca="false">IF('Расчёт ABC-XYZ'!$P$35=0,"нет данных","группа A — "&amp;COUNTIF('Расчёт ABC-XYZ'!$H$5:$H$34,"A")&amp;" из "&amp;'Расчёт ABC-XYZ'!$P$35&amp;" SKU и "&amp;ROUND(SUMIF('Расчёт ABC-XYZ'!$H$5:$H$34,"A",'Расчёт ABC-XYZ'!$F$5:$F$34),1)&amp;" % выручки; группа C — "&amp;COUNTIF('Расчёт ABC-XYZ'!$H$5:$H$34,"C")&amp;" SKU и "&amp;ROUND(SUMIF('Расчёт ABC-XYZ'!$H$5:$H$34,"C",'Расчёт ABC-XYZ'!$F$5:$F$34),1)&amp;" % выручки")</f>
        <v>группа A — 1 из 5 SKU и 69.6 % выручки; группа C — 3 SKU и 8.6 % выручки</v>
      </c>
      <c r="D24" s="61"/>
      <c r="E24" s="62" t="str">
        <f aca="false">"СЧЁТЕСЛИ по столбцу H и СУММЕСЛИ по столбцу F листа «Расчёт ABC-XYZ»"</f>
        <v>СЧЁТЕСЛИ по столбцу H и СУММЕСЛИ по столбцу F листа «Расчёт ABC-XYZ»</v>
      </c>
      <c r="F24" s="62"/>
      <c r="G24" s="62"/>
    </row>
    <row r="25" customFormat="false" ht="30" hidden="false" customHeight="true" outlineLevel="0" collapsed="false">
      <c r="B25" s="15" t="s">
        <v>156</v>
      </c>
      <c r="C25" s="15"/>
      <c r="D25" s="15"/>
      <c r="E25" s="15"/>
      <c r="F25" s="15"/>
      <c r="G25" s="15"/>
    </row>
    <row r="27" customFormat="false" ht="21.75" hidden="false" customHeight="true" outlineLevel="0" collapsed="false">
      <c r="B27" s="3" t="s">
        <v>157</v>
      </c>
    </row>
    <row r="28" customFormat="false" ht="21.75" hidden="false" customHeight="true" outlineLevel="0" collapsed="false">
      <c r="B28" s="12" t="s">
        <v>158</v>
      </c>
      <c r="C28" s="12" t="s">
        <v>117</v>
      </c>
      <c r="D28" s="12" t="s">
        <v>159</v>
      </c>
      <c r="E28" s="12"/>
      <c r="F28" s="12"/>
      <c r="G28" s="12"/>
    </row>
    <row r="29" customFormat="false" ht="27.75" hidden="false" customHeight="true" outlineLevel="0" collapsed="false">
      <c r="B29" s="14" t="s">
        <v>77</v>
      </c>
      <c r="C29" s="22" t="n">
        <f aca="false">'Расчёт ABC-XYZ'!$P$35</f>
        <v>5</v>
      </c>
      <c r="D29" s="14" t="str">
        <f aca="false">"Строки, где есть код SKU, цена и все 12 месяцев. Заполнено частично: "&amp;'Ввод данных'!$U$6&amp;" стр."</f>
        <v>Строки, где есть код SKU, цена и все 12 месяцев. Заполнено частично: 0 стр.</v>
      </c>
      <c r="E29" s="14"/>
      <c r="F29" s="14"/>
      <c r="G29" s="14"/>
    </row>
    <row r="30" customFormat="false" ht="27.75" hidden="false" customHeight="true" outlineLevel="0" collapsed="false">
      <c r="B30" s="14" t="s">
        <v>160</v>
      </c>
      <c r="C30" s="63" t="n">
        <f aca="false">IF('Расчёт ABC-XYZ'!$P$35=0,"—",SUM('Расчёт ABC-XYZ'!$F$5:$F$34))</f>
        <v>100</v>
      </c>
      <c r="D30" s="14" t="str">
        <f aca="false">"Должно быть 100,0 %. Если меньше — доли считаются не от общей выручки."</f>
        <v>Должно быть 100,0 %. Если меньше — доли считаются не от общей выручки.</v>
      </c>
      <c r="E30" s="14"/>
      <c r="F30" s="14"/>
      <c r="G30" s="14"/>
    </row>
    <row r="31" customFormat="false" ht="27.75" hidden="false" customHeight="true" outlineLevel="0" collapsed="false">
      <c r="B31" s="14" t="s">
        <v>161</v>
      </c>
      <c r="C31" s="22" t="n">
        <f aca="false">COUNTIF('Расчёт ABC-XYZ'!$H$5:$H$34,"A")</f>
        <v>1</v>
      </c>
      <c r="D31" s="14" t="str">
        <f aca="false">IF(COUNTIF('Расчёт ABC-XYZ'!$H$5:$H$34,"A")=0,"группы A нет","Они закрывают "&amp;ROUND(SUMIF('Расчёт ABC-XYZ'!$H$5:$H$34,"A",'Расчёт ABC-XYZ'!$F$5:$F$34),1)&amp;" % выручки. Правила «ровно 20 % SKU» шаблон не требует.")</f>
        <v>Они закрывают 69.6 % выручки. Правила «ровно 20 % SKU» шаблон не требует.</v>
      </c>
      <c r="E31" s="14"/>
      <c r="F31" s="14"/>
      <c r="G31" s="14"/>
    </row>
    <row r="32" customFormat="false" ht="27.75" hidden="false" customHeight="true" outlineLevel="0" collapsed="false">
      <c r="B32" s="14" t="s">
        <v>162</v>
      </c>
      <c r="C32" s="22" t="n">
        <f aca="false">COUNTIF('Расчёт ABC-XYZ'!$K$5:$K$34,"n.a.")</f>
        <v>0</v>
      </c>
      <c r="D32" s="14" t="str">
        <f aca="false">IF(COUNTIF('Расчёт ABC-XYZ'!$K$5:$K$34,"n.a.")=0,"У всех строк средний спрос больше нуля.","Средний спрос равен нулю, деление невозможно: это n.a., а не X.")</f>
        <v>У всех строк средний спрос больше нуля.</v>
      </c>
      <c r="E32" s="14"/>
      <c r="F32" s="14"/>
      <c r="G32" s="14"/>
    </row>
    <row r="33" customFormat="false" ht="27.75" hidden="false" customHeight="true" outlineLevel="0" collapsed="false">
      <c r="B33" s="14" t="s">
        <v>163</v>
      </c>
      <c r="C33" s="63" t="n">
        <f aca="false">IF('Расчёт ABC-XYZ'!$P$35&lt;2,"—",MAX('Расчёт ABC-XYZ'!$F$5:$F$34)-LARGE('Расчёт ABC-XYZ'!$F$5:$F$34,2))</f>
        <v>47.7862786905807</v>
      </c>
      <c r="D33" s="14" t="str">
        <f aca="false">IF('Расчёт ABC-XYZ'!$P$35&lt;2,"Нужны минимум две строки.","Первая позиция крупнее второй на столько процентных пунктов.")</f>
        <v>Первая позиция крупнее второй на столько процентных пунктов.</v>
      </c>
      <c r="E33" s="14"/>
      <c r="F33" s="14"/>
      <c r="G33" s="14"/>
    </row>
    <row r="34" customFormat="false" ht="27.75" hidden="false" customHeight="true" outlineLevel="0" collapsed="false">
      <c r="B34" s="14" t="s">
        <v>164</v>
      </c>
      <c r="C34" s="22" t="n">
        <f aca="false">SUMPRODUCT(('Расчёт ABC-XYZ'!$E$5:$E$34&lt;&gt;"")*1)</f>
        <v>5</v>
      </c>
      <c r="D34" s="14" t="str">
        <f aca="false">"Должно совпадать с числом SKU в расчёте ("&amp;'Расчёт ABC-XYZ'!$P$35&amp;")."</f>
        <v>Должно совпадать с числом SKU в расчёте (5).</v>
      </c>
      <c r="E34" s="14"/>
      <c r="F34" s="14"/>
      <c r="G34" s="14"/>
    </row>
    <row r="36" customFormat="false" ht="30" hidden="false" customHeight="true" outlineLevel="0" collapsed="false">
      <c r="B36" s="15" t="s">
        <v>165</v>
      </c>
      <c r="C36" s="15"/>
      <c r="D36" s="15"/>
      <c r="E36" s="15"/>
      <c r="F36" s="15"/>
      <c r="G36" s="15"/>
    </row>
  </sheetData>
  <mergeCells count="22">
    <mergeCell ref="B1:G1"/>
    <mergeCell ref="B2:G2"/>
    <mergeCell ref="G9:G17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5:G25"/>
    <mergeCell ref="D28:G28"/>
    <mergeCell ref="D29:G29"/>
    <mergeCell ref="D30:G30"/>
    <mergeCell ref="D31:G31"/>
    <mergeCell ref="D32:G32"/>
    <mergeCell ref="D33:G33"/>
    <mergeCell ref="D34:G34"/>
    <mergeCell ref="B36:G36"/>
  </mergeCell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Курс «Управление запасами» · Дмитрий Фролов · урок 1.2 · SCM_1_2_ABC_XYZ_Template.xlsx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562B0"/>
    <pageSetUpPr fitToPage="true"/>
  </sheetPr>
  <dimension ref="B1:T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7" min="6" style="0" width="10"/>
    <col collapsed="false" customWidth="true" hidden="false" outlineLevel="0" max="8" min="8" style="0" width="11"/>
    <col collapsed="false" customWidth="true" hidden="false" outlineLevel="0" max="10" min="9" style="0" width="9"/>
    <col collapsed="false" customWidth="true" hidden="false" outlineLevel="0" max="11" min="11" style="0" width="3"/>
  </cols>
  <sheetData>
    <row r="1" customFormat="false" ht="30" hidden="false" customHeight="true" outlineLevel="0" collapsed="false">
      <c r="B1" s="1" t="s">
        <v>166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30" hidden="false" customHeight="true" outlineLevel="0" collapsed="false">
      <c r="B2" s="2" t="s">
        <v>167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4" customFormat="false" ht="21.75" hidden="false" customHeight="true" outlineLevel="0" collapsed="false">
      <c r="B4" s="3" t="s">
        <v>168</v>
      </c>
    </row>
    <row r="5" customFormat="false" ht="33.75" hidden="false" customHeight="true" outlineLevel="0" collapsed="false">
      <c r="B5" s="12" t="s">
        <v>108</v>
      </c>
      <c r="C5" s="12" t="s">
        <v>57</v>
      </c>
      <c r="D5" s="12" t="s">
        <v>99</v>
      </c>
      <c r="E5" s="12" t="s">
        <v>100</v>
      </c>
      <c r="F5" s="12" t="s">
        <v>169</v>
      </c>
      <c r="G5" s="12" t="s">
        <v>170</v>
      </c>
      <c r="H5" s="12" t="s">
        <v>171</v>
      </c>
      <c r="I5" s="12" t="s">
        <v>172</v>
      </c>
      <c r="J5" s="12" t="s">
        <v>173</v>
      </c>
    </row>
    <row r="6" customFormat="false" ht="15" hidden="false" customHeight="false" outlineLevel="0" collapsed="false">
      <c r="B6" s="17" t="n">
        <v>1</v>
      </c>
      <c r="C6" s="24" t="str">
        <f aca="false">IF($B6&gt;'Расчёт ABC-XYZ'!$P$35,"",INDEX('Расчёт ABC-XYZ'!$A$5:$A$34,MATCH($B6,'Расчёт ABC-XYZ'!$O$5:$O$34,0)))</f>
        <v>SKU-001</v>
      </c>
      <c r="D6" s="26" t="n">
        <f aca="false">IF($C6="","",INDEX('Расчёт ABC-XYZ'!$F$5:$F$34,MATCH($B6,'Расчёт ABC-XYZ'!$O$5:$O$34,0)))</f>
        <v>69.6099335256491</v>
      </c>
      <c r="E6" s="26" t="n">
        <f aca="false">IF($C6="","",INDEX('Расчёт ABC-XYZ'!$G$5:$G$34,MATCH($B6,'Расчёт ABC-XYZ'!$O$5:$O$34,0)))</f>
        <v>69.6099335256491</v>
      </c>
      <c r="F6" s="64" t="n">
        <f aca="false">IF($C6="","",'Расчёт ABC-XYZ'!$C$39)</f>
        <v>80</v>
      </c>
      <c r="G6" s="64" t="n">
        <f aca="false">IF($C6="","",'Расчёт ABC-XYZ'!$C$40)</f>
        <v>95</v>
      </c>
      <c r="H6" s="26" t="n">
        <f aca="false">IF($C6="","",IF(ISNUMBER(INDEX('Расчёт ABC-XYZ'!$K$5:$K$34,MATCH($B6,'Расчёт ABC-XYZ'!$O$5:$O$34,0))),INDEX('Расчёт ABC-XYZ'!$K$5:$K$34,MATCH($B6,'Расчёт ABC-XYZ'!$O$5:$O$34,0)),""))</f>
        <v>3.94909167464931</v>
      </c>
      <c r="I6" s="64" t="n">
        <f aca="false">IF($C6="","",'Расчёт ABC-XYZ'!$C$41)</f>
        <v>25</v>
      </c>
      <c r="J6" s="64" t="n">
        <f aca="false">IF($C6="","",'Расчёт ABC-XYZ'!$C$42)</f>
        <v>50</v>
      </c>
    </row>
    <row r="7" customFormat="false" ht="15" hidden="false" customHeight="false" outlineLevel="0" collapsed="false">
      <c r="B7" s="17" t="n">
        <v>2</v>
      </c>
      <c r="C7" s="24" t="str">
        <f aca="false">IF($B7&gt;'Расчёт ABC-XYZ'!$P$35,"",INDEX('Расчёт ABC-XYZ'!$A$5:$A$34,MATCH($B7,'Расчёт ABC-XYZ'!$O$5:$O$34,0)))</f>
        <v>SKU-002</v>
      </c>
      <c r="D7" s="26" t="n">
        <f aca="false">IF($C7="","",INDEX('Расчёт ABC-XYZ'!$F$5:$F$34,MATCH($B7,'Расчёт ABC-XYZ'!$O$5:$O$34,0)))</f>
        <v>21.8236548350684</v>
      </c>
      <c r="E7" s="26" t="n">
        <f aca="false">IF($C7="","",INDEX('Расчёт ABC-XYZ'!$G$5:$G$34,MATCH($B7,'Расчёт ABC-XYZ'!$O$5:$O$34,0)))</f>
        <v>91.4335883607174</v>
      </c>
      <c r="F7" s="64" t="n">
        <f aca="false">IF($C7="","",'Расчёт ABC-XYZ'!$C$39)</f>
        <v>80</v>
      </c>
      <c r="G7" s="64" t="n">
        <f aca="false">IF($C7="","",'Расчёт ABC-XYZ'!$C$40)</f>
        <v>95</v>
      </c>
      <c r="H7" s="26" t="n">
        <f aca="false">IF($C7="","",IF(ISNUMBER(INDEX('Расчёт ABC-XYZ'!$K$5:$K$34,MATCH($B7,'Расчёт ABC-XYZ'!$O$5:$O$34,0))),INDEX('Расчёт ABC-XYZ'!$K$5:$K$34,MATCH($B7,'Расчёт ABC-XYZ'!$O$5:$O$34,0)),""))</f>
        <v>27.224642028338</v>
      </c>
      <c r="I7" s="64" t="n">
        <f aca="false">IF($C7="","",'Расчёт ABC-XYZ'!$C$41)</f>
        <v>25</v>
      </c>
      <c r="J7" s="64" t="n">
        <f aca="false">IF($C7="","",'Расчёт ABC-XYZ'!$C$42)</f>
        <v>50</v>
      </c>
    </row>
    <row r="8" customFormat="false" ht="15" hidden="false" customHeight="false" outlineLevel="0" collapsed="false">
      <c r="B8" s="17" t="n">
        <v>3</v>
      </c>
      <c r="C8" s="24" t="str">
        <f aca="false">IF($B8&gt;'Расчёт ABC-XYZ'!$P$35,"",INDEX('Расчёт ABC-XYZ'!$A$5:$A$34,MATCH($B8,'Расчёт ABC-XYZ'!$O$5:$O$34,0)))</f>
        <v>SKU-003</v>
      </c>
      <c r="D8" s="26" t="n">
        <f aca="false">IF($C8="","",INDEX('Расчёт ABC-XYZ'!$F$5:$F$34,MATCH($B8,'Расчёт ABC-XYZ'!$O$5:$O$34,0)))</f>
        <v>5.92625109745391</v>
      </c>
      <c r="E8" s="26" t="n">
        <f aca="false">IF($C8="","",INDEX('Расчёт ABC-XYZ'!$G$5:$G$34,MATCH($B8,'Расчёт ABC-XYZ'!$O$5:$O$34,0)))</f>
        <v>97.3598394581713</v>
      </c>
      <c r="F8" s="64" t="n">
        <f aca="false">IF($C8="","",'Расчёт ABC-XYZ'!$C$39)</f>
        <v>80</v>
      </c>
      <c r="G8" s="64" t="n">
        <f aca="false">IF($C8="","",'Расчёт ABC-XYZ'!$C$40)</f>
        <v>95</v>
      </c>
      <c r="H8" s="26" t="n">
        <f aca="false">IF($C8="","",IF(ISNUMBER(INDEX('Расчёт ABC-XYZ'!$K$5:$K$34,MATCH($B8,'Расчёт ABC-XYZ'!$O$5:$O$34,0))),INDEX('Расчёт ABC-XYZ'!$K$5:$K$34,MATCH($B8,'Расчёт ABC-XYZ'!$O$5:$O$34,0)),""))</f>
        <v>6.28272068097244</v>
      </c>
      <c r="I8" s="64" t="n">
        <f aca="false">IF($C8="","",'Расчёт ABC-XYZ'!$C$41)</f>
        <v>25</v>
      </c>
      <c r="J8" s="64" t="n">
        <f aca="false">IF($C8="","",'Расчёт ABC-XYZ'!$C$42)</f>
        <v>50</v>
      </c>
    </row>
    <row r="9" customFormat="false" ht="15" hidden="false" customHeight="false" outlineLevel="0" collapsed="false">
      <c r="B9" s="17" t="n">
        <v>4</v>
      </c>
      <c r="C9" s="24" t="str">
        <f aca="false">IF($B9&gt;'Расчёт ABC-XYZ'!$P$35,"",INDEX('Расчёт ABC-XYZ'!$A$5:$A$34,MATCH($B9,'Расчёт ABC-XYZ'!$O$5:$O$34,0)))</f>
        <v>SKU-004</v>
      </c>
      <c r="D9" s="26" t="n">
        <f aca="false">IF($C9="","",INDEX('Расчёт ABC-XYZ'!$F$5:$F$34,MATCH($B9,'Расчёт ABC-XYZ'!$O$5:$O$34,0)))</f>
        <v>2.53982189890882</v>
      </c>
      <c r="E9" s="26" t="n">
        <f aca="false">IF($C9="","",INDEX('Расчёт ABC-XYZ'!$G$5:$G$34,MATCH($B9,'Расчёт ABC-XYZ'!$O$5:$O$34,0)))</f>
        <v>99.8996613570802</v>
      </c>
      <c r="F9" s="64" t="n">
        <f aca="false">IF($C9="","",'Расчёт ABC-XYZ'!$C$39)</f>
        <v>80</v>
      </c>
      <c r="G9" s="64" t="n">
        <f aca="false">IF($C9="","",'Расчёт ABC-XYZ'!$C$40)</f>
        <v>95</v>
      </c>
      <c r="H9" s="26" t="n">
        <f aca="false">IF($C9="","",IF(ISNUMBER(INDEX('Расчёт ABC-XYZ'!$K$5:$K$34,MATCH($B9,'Расчёт ABC-XYZ'!$O$5:$O$34,0))),INDEX('Расчёт ABC-XYZ'!$K$5:$K$34,MATCH($B9,'Расчёт ABC-XYZ'!$O$5:$O$34,0)),""))</f>
        <v>72.4753399241379</v>
      </c>
      <c r="I9" s="64" t="n">
        <f aca="false">IF($C9="","",'Расчёт ABC-XYZ'!$C$41)</f>
        <v>25</v>
      </c>
      <c r="J9" s="64" t="n">
        <f aca="false">IF($C9="","",'Расчёт ABC-XYZ'!$C$42)</f>
        <v>50</v>
      </c>
    </row>
    <row r="10" customFormat="false" ht="15" hidden="false" customHeight="false" outlineLevel="0" collapsed="false">
      <c r="B10" s="17" t="n">
        <v>5</v>
      </c>
      <c r="C10" s="24" t="str">
        <f aca="false">IF($B10&gt;'Расчёт ABC-XYZ'!$P$35,"",INDEX('Расчёт ABC-XYZ'!$A$5:$A$34,MATCH($B10,'Расчёт ABC-XYZ'!$O$5:$O$34,0)))</f>
        <v>SKU-005</v>
      </c>
      <c r="D10" s="26" t="n">
        <f aca="false">IF($C10="","",INDEX('Расчёт ABC-XYZ'!$F$5:$F$34,MATCH($B10,'Расчёт ABC-XYZ'!$O$5:$O$34,0)))</f>
        <v>0.100338642919855</v>
      </c>
      <c r="E10" s="26" t="n">
        <f aca="false">IF($C10="","",INDEX('Расчёт ABC-XYZ'!$G$5:$G$34,MATCH($B10,'Расчёт ABC-XYZ'!$O$5:$O$34,0)))</f>
        <v>100</v>
      </c>
      <c r="F10" s="64" t="n">
        <f aca="false">IF($C10="","",'Расчёт ABC-XYZ'!$C$39)</f>
        <v>80</v>
      </c>
      <c r="G10" s="64" t="n">
        <f aca="false">IF($C10="","",'Расчёт ABC-XYZ'!$C$40)</f>
        <v>95</v>
      </c>
      <c r="H10" s="26" t="n">
        <f aca="false">IF($C10="","",IF(ISNUMBER(INDEX('Расчёт ABC-XYZ'!$K$5:$K$34,MATCH($B10,'Расчёт ABC-XYZ'!$O$5:$O$34,0))),INDEX('Расчёт ABC-XYZ'!$K$5:$K$34,MATCH($B10,'Расчёт ABC-XYZ'!$O$5:$O$34,0)),""))</f>
        <v>77.0551750371122</v>
      </c>
      <c r="I10" s="64" t="n">
        <f aca="false">IF($C10="","",'Расчёт ABC-XYZ'!$C$41)</f>
        <v>25</v>
      </c>
      <c r="J10" s="64" t="n">
        <f aca="false">IF($C10="","",'Расчёт ABC-XYZ'!$C$42)</f>
        <v>50</v>
      </c>
    </row>
    <row r="11" customFormat="false" ht="15" hidden="false" customHeight="false" outlineLevel="0" collapsed="false">
      <c r="B11" s="17" t="n">
        <v>6</v>
      </c>
      <c r="C11" s="24" t="str">
        <f aca="false">IF($B11&gt;'Расчёт ABC-XYZ'!$P$35,"",INDEX('Расчёт ABC-XYZ'!$A$5:$A$34,MATCH($B11,'Расчёт ABC-XYZ'!$O$5:$O$34,0)))</f>
        <v/>
      </c>
      <c r="D11" s="26" t="str">
        <f aca="false">IF($C11="","",INDEX('Расчёт ABC-XYZ'!$F$5:$F$34,MATCH($B11,'Расчёт ABC-XYZ'!$O$5:$O$34,0)))</f>
        <v/>
      </c>
      <c r="E11" s="26" t="str">
        <f aca="false">IF($C11="","",INDEX('Расчёт ABC-XYZ'!$G$5:$G$34,MATCH($B11,'Расчёт ABC-XYZ'!$O$5:$O$34,0)))</f>
        <v/>
      </c>
      <c r="F11" s="64" t="str">
        <f aca="false">IF($C11="","",'Расчёт ABC-XYZ'!$C$39)</f>
        <v/>
      </c>
      <c r="G11" s="64" t="str">
        <f aca="false">IF($C11="","",'Расчёт ABC-XYZ'!$C$40)</f>
        <v/>
      </c>
      <c r="H11" s="26" t="str">
        <f aca="false">IF($C11="","",IF(ISNUMBER(INDEX('Расчёт ABC-XYZ'!$K$5:$K$34,MATCH($B11,'Расчёт ABC-XYZ'!$O$5:$O$34,0))),INDEX('Расчёт ABC-XYZ'!$K$5:$K$34,MATCH($B11,'Расчёт ABC-XYZ'!$O$5:$O$34,0)),""))</f>
        <v/>
      </c>
      <c r="I11" s="64" t="str">
        <f aca="false">IF($C11="","",'Расчёт ABC-XYZ'!$C$41)</f>
        <v/>
      </c>
      <c r="J11" s="64" t="str">
        <f aca="false">IF($C11="","",'Расчёт ABC-XYZ'!$C$42)</f>
        <v/>
      </c>
    </row>
    <row r="12" customFormat="false" ht="15" hidden="false" customHeight="false" outlineLevel="0" collapsed="false">
      <c r="B12" s="17" t="n">
        <v>7</v>
      </c>
      <c r="C12" s="24" t="str">
        <f aca="false">IF($B12&gt;'Расчёт ABC-XYZ'!$P$35,"",INDEX('Расчёт ABC-XYZ'!$A$5:$A$34,MATCH($B12,'Расчёт ABC-XYZ'!$O$5:$O$34,0)))</f>
        <v/>
      </c>
      <c r="D12" s="26" t="str">
        <f aca="false">IF($C12="","",INDEX('Расчёт ABC-XYZ'!$F$5:$F$34,MATCH($B12,'Расчёт ABC-XYZ'!$O$5:$O$34,0)))</f>
        <v/>
      </c>
      <c r="E12" s="26" t="str">
        <f aca="false">IF($C12="","",INDEX('Расчёт ABC-XYZ'!$G$5:$G$34,MATCH($B12,'Расчёт ABC-XYZ'!$O$5:$O$34,0)))</f>
        <v/>
      </c>
      <c r="F12" s="64" t="str">
        <f aca="false">IF($C12="","",'Расчёт ABC-XYZ'!$C$39)</f>
        <v/>
      </c>
      <c r="G12" s="64" t="str">
        <f aca="false">IF($C12="","",'Расчёт ABC-XYZ'!$C$40)</f>
        <v/>
      </c>
      <c r="H12" s="26" t="str">
        <f aca="false">IF($C12="","",IF(ISNUMBER(INDEX('Расчёт ABC-XYZ'!$K$5:$K$34,MATCH($B12,'Расчёт ABC-XYZ'!$O$5:$O$34,0))),INDEX('Расчёт ABC-XYZ'!$K$5:$K$34,MATCH($B12,'Расчёт ABC-XYZ'!$O$5:$O$34,0)),""))</f>
        <v/>
      </c>
      <c r="I12" s="64" t="str">
        <f aca="false">IF($C12="","",'Расчёт ABC-XYZ'!$C$41)</f>
        <v/>
      </c>
      <c r="J12" s="64" t="str">
        <f aca="false">IF($C12="","",'Расчёт ABC-XYZ'!$C$42)</f>
        <v/>
      </c>
    </row>
    <row r="13" customFormat="false" ht="15" hidden="false" customHeight="false" outlineLevel="0" collapsed="false">
      <c r="B13" s="17" t="n">
        <v>8</v>
      </c>
      <c r="C13" s="24" t="str">
        <f aca="false">IF($B13&gt;'Расчёт ABC-XYZ'!$P$35,"",INDEX('Расчёт ABC-XYZ'!$A$5:$A$34,MATCH($B13,'Расчёт ABC-XYZ'!$O$5:$O$34,0)))</f>
        <v/>
      </c>
      <c r="D13" s="26" t="str">
        <f aca="false">IF($C13="","",INDEX('Расчёт ABC-XYZ'!$F$5:$F$34,MATCH($B13,'Расчёт ABC-XYZ'!$O$5:$O$34,0)))</f>
        <v/>
      </c>
      <c r="E13" s="26" t="str">
        <f aca="false">IF($C13="","",INDEX('Расчёт ABC-XYZ'!$G$5:$G$34,MATCH($B13,'Расчёт ABC-XYZ'!$O$5:$O$34,0)))</f>
        <v/>
      </c>
      <c r="F13" s="64" t="str">
        <f aca="false">IF($C13="","",'Расчёт ABC-XYZ'!$C$39)</f>
        <v/>
      </c>
      <c r="G13" s="64" t="str">
        <f aca="false">IF($C13="","",'Расчёт ABC-XYZ'!$C$40)</f>
        <v/>
      </c>
      <c r="H13" s="26" t="str">
        <f aca="false">IF($C13="","",IF(ISNUMBER(INDEX('Расчёт ABC-XYZ'!$K$5:$K$34,MATCH($B13,'Расчёт ABC-XYZ'!$O$5:$O$34,0))),INDEX('Расчёт ABC-XYZ'!$K$5:$K$34,MATCH($B13,'Расчёт ABC-XYZ'!$O$5:$O$34,0)),""))</f>
        <v/>
      </c>
      <c r="I13" s="64" t="str">
        <f aca="false">IF($C13="","",'Расчёт ABC-XYZ'!$C$41)</f>
        <v/>
      </c>
      <c r="J13" s="64" t="str">
        <f aca="false">IF($C13="","",'Расчёт ABC-XYZ'!$C$42)</f>
        <v/>
      </c>
    </row>
    <row r="14" customFormat="false" ht="15" hidden="false" customHeight="false" outlineLevel="0" collapsed="false">
      <c r="B14" s="17" t="n">
        <v>9</v>
      </c>
      <c r="C14" s="24" t="str">
        <f aca="false">IF($B14&gt;'Расчёт ABC-XYZ'!$P$35,"",INDEX('Расчёт ABC-XYZ'!$A$5:$A$34,MATCH($B14,'Расчёт ABC-XYZ'!$O$5:$O$34,0)))</f>
        <v/>
      </c>
      <c r="D14" s="26" t="str">
        <f aca="false">IF($C14="","",INDEX('Расчёт ABC-XYZ'!$F$5:$F$34,MATCH($B14,'Расчёт ABC-XYZ'!$O$5:$O$34,0)))</f>
        <v/>
      </c>
      <c r="E14" s="26" t="str">
        <f aca="false">IF($C14="","",INDEX('Расчёт ABC-XYZ'!$G$5:$G$34,MATCH($B14,'Расчёт ABC-XYZ'!$O$5:$O$34,0)))</f>
        <v/>
      </c>
      <c r="F14" s="64" t="str">
        <f aca="false">IF($C14="","",'Расчёт ABC-XYZ'!$C$39)</f>
        <v/>
      </c>
      <c r="G14" s="64" t="str">
        <f aca="false">IF($C14="","",'Расчёт ABC-XYZ'!$C$40)</f>
        <v/>
      </c>
      <c r="H14" s="26" t="str">
        <f aca="false">IF($C14="","",IF(ISNUMBER(INDEX('Расчёт ABC-XYZ'!$K$5:$K$34,MATCH($B14,'Расчёт ABC-XYZ'!$O$5:$O$34,0))),INDEX('Расчёт ABC-XYZ'!$K$5:$K$34,MATCH($B14,'Расчёт ABC-XYZ'!$O$5:$O$34,0)),""))</f>
        <v/>
      </c>
      <c r="I14" s="64" t="str">
        <f aca="false">IF($C14="","",'Расчёт ABC-XYZ'!$C$41)</f>
        <v/>
      </c>
      <c r="J14" s="64" t="str">
        <f aca="false">IF($C14="","",'Расчёт ABC-XYZ'!$C$42)</f>
        <v/>
      </c>
    </row>
    <row r="15" customFormat="false" ht="15" hidden="false" customHeight="false" outlineLevel="0" collapsed="false">
      <c r="B15" s="17" t="n">
        <v>10</v>
      </c>
      <c r="C15" s="24" t="str">
        <f aca="false">IF($B15&gt;'Расчёт ABC-XYZ'!$P$35,"",INDEX('Расчёт ABC-XYZ'!$A$5:$A$34,MATCH($B15,'Расчёт ABC-XYZ'!$O$5:$O$34,0)))</f>
        <v/>
      </c>
      <c r="D15" s="26" t="str">
        <f aca="false">IF($C15="","",INDEX('Расчёт ABC-XYZ'!$F$5:$F$34,MATCH($B15,'Расчёт ABC-XYZ'!$O$5:$O$34,0)))</f>
        <v/>
      </c>
      <c r="E15" s="26" t="str">
        <f aca="false">IF($C15="","",INDEX('Расчёт ABC-XYZ'!$G$5:$G$34,MATCH($B15,'Расчёт ABC-XYZ'!$O$5:$O$34,0)))</f>
        <v/>
      </c>
      <c r="F15" s="64" t="str">
        <f aca="false">IF($C15="","",'Расчёт ABC-XYZ'!$C$39)</f>
        <v/>
      </c>
      <c r="G15" s="64" t="str">
        <f aca="false">IF($C15="","",'Расчёт ABC-XYZ'!$C$40)</f>
        <v/>
      </c>
      <c r="H15" s="26" t="str">
        <f aca="false">IF($C15="","",IF(ISNUMBER(INDEX('Расчёт ABC-XYZ'!$K$5:$K$34,MATCH($B15,'Расчёт ABC-XYZ'!$O$5:$O$34,0))),INDEX('Расчёт ABC-XYZ'!$K$5:$K$34,MATCH($B15,'Расчёт ABC-XYZ'!$O$5:$O$34,0)),""))</f>
        <v/>
      </c>
      <c r="I15" s="64" t="str">
        <f aca="false">IF($C15="","",'Расчёт ABC-XYZ'!$C$41)</f>
        <v/>
      </c>
      <c r="J15" s="64" t="str">
        <f aca="false">IF($C15="","",'Расчёт ABC-XYZ'!$C$42)</f>
        <v/>
      </c>
    </row>
    <row r="16" customFormat="false" ht="15" hidden="false" customHeight="false" outlineLevel="0" collapsed="false">
      <c r="B16" s="17" t="n">
        <v>11</v>
      </c>
      <c r="C16" s="24" t="str">
        <f aca="false">IF($B16&gt;'Расчёт ABC-XYZ'!$P$35,"",INDEX('Расчёт ABC-XYZ'!$A$5:$A$34,MATCH($B16,'Расчёт ABC-XYZ'!$O$5:$O$34,0)))</f>
        <v/>
      </c>
      <c r="D16" s="26" t="str">
        <f aca="false">IF($C16="","",INDEX('Расчёт ABC-XYZ'!$F$5:$F$34,MATCH($B16,'Расчёт ABC-XYZ'!$O$5:$O$34,0)))</f>
        <v/>
      </c>
      <c r="E16" s="26" t="str">
        <f aca="false">IF($C16="","",INDEX('Расчёт ABC-XYZ'!$G$5:$G$34,MATCH($B16,'Расчёт ABC-XYZ'!$O$5:$O$34,0)))</f>
        <v/>
      </c>
      <c r="F16" s="64" t="str">
        <f aca="false">IF($C16="","",'Расчёт ABC-XYZ'!$C$39)</f>
        <v/>
      </c>
      <c r="G16" s="64" t="str">
        <f aca="false">IF($C16="","",'Расчёт ABC-XYZ'!$C$40)</f>
        <v/>
      </c>
      <c r="H16" s="26" t="str">
        <f aca="false">IF($C16="","",IF(ISNUMBER(INDEX('Расчёт ABC-XYZ'!$K$5:$K$34,MATCH($B16,'Расчёт ABC-XYZ'!$O$5:$O$34,0))),INDEX('Расчёт ABC-XYZ'!$K$5:$K$34,MATCH($B16,'Расчёт ABC-XYZ'!$O$5:$O$34,0)),""))</f>
        <v/>
      </c>
      <c r="I16" s="64" t="str">
        <f aca="false">IF($C16="","",'Расчёт ABC-XYZ'!$C$41)</f>
        <v/>
      </c>
      <c r="J16" s="64" t="str">
        <f aca="false">IF($C16="","",'Расчёт ABC-XYZ'!$C$42)</f>
        <v/>
      </c>
    </row>
    <row r="17" customFormat="false" ht="15" hidden="false" customHeight="false" outlineLevel="0" collapsed="false">
      <c r="B17" s="17" t="n">
        <v>12</v>
      </c>
      <c r="C17" s="24" t="str">
        <f aca="false">IF($B17&gt;'Расчёт ABC-XYZ'!$P$35,"",INDEX('Расчёт ABC-XYZ'!$A$5:$A$34,MATCH($B17,'Расчёт ABC-XYZ'!$O$5:$O$34,0)))</f>
        <v/>
      </c>
      <c r="D17" s="26" t="str">
        <f aca="false">IF($C17="","",INDEX('Расчёт ABC-XYZ'!$F$5:$F$34,MATCH($B17,'Расчёт ABC-XYZ'!$O$5:$O$34,0)))</f>
        <v/>
      </c>
      <c r="E17" s="26" t="str">
        <f aca="false">IF($C17="","",INDEX('Расчёт ABC-XYZ'!$G$5:$G$34,MATCH($B17,'Расчёт ABC-XYZ'!$O$5:$O$34,0)))</f>
        <v/>
      </c>
      <c r="F17" s="64" t="str">
        <f aca="false">IF($C17="","",'Расчёт ABC-XYZ'!$C$39)</f>
        <v/>
      </c>
      <c r="G17" s="64" t="str">
        <f aca="false">IF($C17="","",'Расчёт ABC-XYZ'!$C$40)</f>
        <v/>
      </c>
      <c r="H17" s="26" t="str">
        <f aca="false">IF($C17="","",IF(ISNUMBER(INDEX('Расчёт ABC-XYZ'!$K$5:$K$34,MATCH($B17,'Расчёт ABC-XYZ'!$O$5:$O$34,0))),INDEX('Расчёт ABC-XYZ'!$K$5:$K$34,MATCH($B17,'Расчёт ABC-XYZ'!$O$5:$O$34,0)),""))</f>
        <v/>
      </c>
      <c r="I17" s="64" t="str">
        <f aca="false">IF($C17="","",'Расчёт ABC-XYZ'!$C$41)</f>
        <v/>
      </c>
      <c r="J17" s="64" t="str">
        <f aca="false">IF($C17="","",'Расчёт ABC-XYZ'!$C$42)</f>
        <v/>
      </c>
    </row>
    <row r="18" customFormat="false" ht="15" hidden="false" customHeight="false" outlineLevel="0" collapsed="false">
      <c r="B18" s="17" t="n">
        <v>13</v>
      </c>
      <c r="C18" s="24" t="str">
        <f aca="false">IF($B18&gt;'Расчёт ABC-XYZ'!$P$35,"",INDEX('Расчёт ABC-XYZ'!$A$5:$A$34,MATCH($B18,'Расчёт ABC-XYZ'!$O$5:$O$34,0)))</f>
        <v/>
      </c>
      <c r="D18" s="26" t="str">
        <f aca="false">IF($C18="","",INDEX('Расчёт ABC-XYZ'!$F$5:$F$34,MATCH($B18,'Расчёт ABC-XYZ'!$O$5:$O$34,0)))</f>
        <v/>
      </c>
      <c r="E18" s="26" t="str">
        <f aca="false">IF($C18="","",INDEX('Расчёт ABC-XYZ'!$G$5:$G$34,MATCH($B18,'Расчёт ABC-XYZ'!$O$5:$O$34,0)))</f>
        <v/>
      </c>
      <c r="F18" s="64" t="str">
        <f aca="false">IF($C18="","",'Расчёт ABC-XYZ'!$C$39)</f>
        <v/>
      </c>
      <c r="G18" s="64" t="str">
        <f aca="false">IF($C18="","",'Расчёт ABC-XYZ'!$C$40)</f>
        <v/>
      </c>
      <c r="H18" s="26" t="str">
        <f aca="false">IF($C18="","",IF(ISNUMBER(INDEX('Расчёт ABC-XYZ'!$K$5:$K$34,MATCH($B18,'Расчёт ABC-XYZ'!$O$5:$O$34,0))),INDEX('Расчёт ABC-XYZ'!$K$5:$K$34,MATCH($B18,'Расчёт ABC-XYZ'!$O$5:$O$34,0)),""))</f>
        <v/>
      </c>
      <c r="I18" s="64" t="str">
        <f aca="false">IF($C18="","",'Расчёт ABC-XYZ'!$C$41)</f>
        <v/>
      </c>
      <c r="J18" s="64" t="str">
        <f aca="false">IF($C18="","",'Расчёт ABC-XYZ'!$C$42)</f>
        <v/>
      </c>
    </row>
    <row r="19" customFormat="false" ht="15" hidden="false" customHeight="false" outlineLevel="0" collapsed="false">
      <c r="B19" s="17" t="n">
        <v>14</v>
      </c>
      <c r="C19" s="24" t="str">
        <f aca="false">IF($B19&gt;'Расчёт ABC-XYZ'!$P$35,"",INDEX('Расчёт ABC-XYZ'!$A$5:$A$34,MATCH($B19,'Расчёт ABC-XYZ'!$O$5:$O$34,0)))</f>
        <v/>
      </c>
      <c r="D19" s="26" t="str">
        <f aca="false">IF($C19="","",INDEX('Расчёт ABC-XYZ'!$F$5:$F$34,MATCH($B19,'Расчёт ABC-XYZ'!$O$5:$O$34,0)))</f>
        <v/>
      </c>
      <c r="E19" s="26" t="str">
        <f aca="false">IF($C19="","",INDEX('Расчёт ABC-XYZ'!$G$5:$G$34,MATCH($B19,'Расчёт ABC-XYZ'!$O$5:$O$34,0)))</f>
        <v/>
      </c>
      <c r="F19" s="64" t="str">
        <f aca="false">IF($C19="","",'Расчёт ABC-XYZ'!$C$39)</f>
        <v/>
      </c>
      <c r="G19" s="64" t="str">
        <f aca="false">IF($C19="","",'Расчёт ABC-XYZ'!$C$40)</f>
        <v/>
      </c>
      <c r="H19" s="26" t="str">
        <f aca="false">IF($C19="","",IF(ISNUMBER(INDEX('Расчёт ABC-XYZ'!$K$5:$K$34,MATCH($B19,'Расчёт ABC-XYZ'!$O$5:$O$34,0))),INDEX('Расчёт ABC-XYZ'!$K$5:$K$34,MATCH($B19,'Расчёт ABC-XYZ'!$O$5:$O$34,0)),""))</f>
        <v/>
      </c>
      <c r="I19" s="64" t="str">
        <f aca="false">IF($C19="","",'Расчёт ABC-XYZ'!$C$41)</f>
        <v/>
      </c>
      <c r="J19" s="64" t="str">
        <f aca="false">IF($C19="","",'Расчёт ABC-XYZ'!$C$42)</f>
        <v/>
      </c>
    </row>
    <row r="20" customFormat="false" ht="15" hidden="false" customHeight="false" outlineLevel="0" collapsed="false">
      <c r="B20" s="17" t="n">
        <v>15</v>
      </c>
      <c r="C20" s="24" t="str">
        <f aca="false">IF($B20&gt;'Расчёт ABC-XYZ'!$P$35,"",INDEX('Расчёт ABC-XYZ'!$A$5:$A$34,MATCH($B20,'Расчёт ABC-XYZ'!$O$5:$O$34,0)))</f>
        <v/>
      </c>
      <c r="D20" s="26" t="str">
        <f aca="false">IF($C20="","",INDEX('Расчёт ABC-XYZ'!$F$5:$F$34,MATCH($B20,'Расчёт ABC-XYZ'!$O$5:$O$34,0)))</f>
        <v/>
      </c>
      <c r="E20" s="26" t="str">
        <f aca="false">IF($C20="","",INDEX('Расчёт ABC-XYZ'!$G$5:$G$34,MATCH($B20,'Расчёт ABC-XYZ'!$O$5:$O$34,0)))</f>
        <v/>
      </c>
      <c r="F20" s="64" t="str">
        <f aca="false">IF($C20="","",'Расчёт ABC-XYZ'!$C$39)</f>
        <v/>
      </c>
      <c r="G20" s="64" t="str">
        <f aca="false">IF($C20="","",'Расчёт ABC-XYZ'!$C$40)</f>
        <v/>
      </c>
      <c r="H20" s="26" t="str">
        <f aca="false">IF($C20="","",IF(ISNUMBER(INDEX('Расчёт ABC-XYZ'!$K$5:$K$34,MATCH($B20,'Расчёт ABC-XYZ'!$O$5:$O$34,0))),INDEX('Расчёт ABC-XYZ'!$K$5:$K$34,MATCH($B20,'Расчёт ABC-XYZ'!$O$5:$O$34,0)),""))</f>
        <v/>
      </c>
      <c r="I20" s="64" t="str">
        <f aca="false">IF($C20="","",'Расчёт ABC-XYZ'!$C$41)</f>
        <v/>
      </c>
      <c r="J20" s="64" t="str">
        <f aca="false">IF($C20="","",'Расчёт ABC-XYZ'!$C$42)</f>
        <v/>
      </c>
    </row>
    <row r="21" customFormat="false" ht="15" hidden="false" customHeight="false" outlineLevel="0" collapsed="false">
      <c r="B21" s="17" t="n">
        <v>16</v>
      </c>
      <c r="C21" s="24" t="str">
        <f aca="false">IF($B21&gt;'Расчёт ABC-XYZ'!$P$35,"",INDEX('Расчёт ABC-XYZ'!$A$5:$A$34,MATCH($B21,'Расчёт ABC-XYZ'!$O$5:$O$34,0)))</f>
        <v/>
      </c>
      <c r="D21" s="26" t="str">
        <f aca="false">IF($C21="","",INDEX('Расчёт ABC-XYZ'!$F$5:$F$34,MATCH($B21,'Расчёт ABC-XYZ'!$O$5:$O$34,0)))</f>
        <v/>
      </c>
      <c r="E21" s="26" t="str">
        <f aca="false">IF($C21="","",INDEX('Расчёт ABC-XYZ'!$G$5:$G$34,MATCH($B21,'Расчёт ABC-XYZ'!$O$5:$O$34,0)))</f>
        <v/>
      </c>
      <c r="F21" s="64" t="str">
        <f aca="false">IF($C21="","",'Расчёт ABC-XYZ'!$C$39)</f>
        <v/>
      </c>
      <c r="G21" s="64" t="str">
        <f aca="false">IF($C21="","",'Расчёт ABC-XYZ'!$C$40)</f>
        <v/>
      </c>
      <c r="H21" s="26" t="str">
        <f aca="false">IF($C21="","",IF(ISNUMBER(INDEX('Расчёт ABC-XYZ'!$K$5:$K$34,MATCH($B21,'Расчёт ABC-XYZ'!$O$5:$O$34,0))),INDEX('Расчёт ABC-XYZ'!$K$5:$K$34,MATCH($B21,'Расчёт ABC-XYZ'!$O$5:$O$34,0)),""))</f>
        <v/>
      </c>
      <c r="I21" s="64" t="str">
        <f aca="false">IF($C21="","",'Расчёт ABC-XYZ'!$C$41)</f>
        <v/>
      </c>
      <c r="J21" s="64" t="str">
        <f aca="false">IF($C21="","",'Расчёт ABC-XYZ'!$C$42)</f>
        <v/>
      </c>
    </row>
    <row r="22" customFormat="false" ht="15" hidden="false" customHeight="false" outlineLevel="0" collapsed="false">
      <c r="B22" s="17" t="n">
        <v>17</v>
      </c>
      <c r="C22" s="24" t="str">
        <f aca="false">IF($B22&gt;'Расчёт ABC-XYZ'!$P$35,"",INDEX('Расчёт ABC-XYZ'!$A$5:$A$34,MATCH($B22,'Расчёт ABC-XYZ'!$O$5:$O$34,0)))</f>
        <v/>
      </c>
      <c r="D22" s="26" t="str">
        <f aca="false">IF($C22="","",INDEX('Расчёт ABC-XYZ'!$F$5:$F$34,MATCH($B22,'Расчёт ABC-XYZ'!$O$5:$O$34,0)))</f>
        <v/>
      </c>
      <c r="E22" s="26" t="str">
        <f aca="false">IF($C22="","",INDEX('Расчёт ABC-XYZ'!$G$5:$G$34,MATCH($B22,'Расчёт ABC-XYZ'!$O$5:$O$34,0)))</f>
        <v/>
      </c>
      <c r="F22" s="64" t="str">
        <f aca="false">IF($C22="","",'Расчёт ABC-XYZ'!$C$39)</f>
        <v/>
      </c>
      <c r="G22" s="64" t="str">
        <f aca="false">IF($C22="","",'Расчёт ABC-XYZ'!$C$40)</f>
        <v/>
      </c>
      <c r="H22" s="26" t="str">
        <f aca="false">IF($C22="","",IF(ISNUMBER(INDEX('Расчёт ABC-XYZ'!$K$5:$K$34,MATCH($B22,'Расчёт ABC-XYZ'!$O$5:$O$34,0))),INDEX('Расчёт ABC-XYZ'!$K$5:$K$34,MATCH($B22,'Расчёт ABC-XYZ'!$O$5:$O$34,0)),""))</f>
        <v/>
      </c>
      <c r="I22" s="64" t="str">
        <f aca="false">IF($C22="","",'Расчёт ABC-XYZ'!$C$41)</f>
        <v/>
      </c>
      <c r="J22" s="64" t="str">
        <f aca="false">IF($C22="","",'Расчёт ABC-XYZ'!$C$42)</f>
        <v/>
      </c>
    </row>
    <row r="23" customFormat="false" ht="15" hidden="false" customHeight="false" outlineLevel="0" collapsed="false">
      <c r="B23" s="17" t="n">
        <v>18</v>
      </c>
      <c r="C23" s="24" t="str">
        <f aca="false">IF($B23&gt;'Расчёт ABC-XYZ'!$P$35,"",INDEX('Расчёт ABC-XYZ'!$A$5:$A$34,MATCH($B23,'Расчёт ABC-XYZ'!$O$5:$O$34,0)))</f>
        <v/>
      </c>
      <c r="D23" s="26" t="str">
        <f aca="false">IF($C23="","",INDEX('Расчёт ABC-XYZ'!$F$5:$F$34,MATCH($B23,'Расчёт ABC-XYZ'!$O$5:$O$34,0)))</f>
        <v/>
      </c>
      <c r="E23" s="26" t="str">
        <f aca="false">IF($C23="","",INDEX('Расчёт ABC-XYZ'!$G$5:$G$34,MATCH($B23,'Расчёт ABC-XYZ'!$O$5:$O$34,0)))</f>
        <v/>
      </c>
      <c r="F23" s="64" t="str">
        <f aca="false">IF($C23="","",'Расчёт ABC-XYZ'!$C$39)</f>
        <v/>
      </c>
      <c r="G23" s="64" t="str">
        <f aca="false">IF($C23="","",'Расчёт ABC-XYZ'!$C$40)</f>
        <v/>
      </c>
      <c r="H23" s="26" t="str">
        <f aca="false">IF($C23="","",IF(ISNUMBER(INDEX('Расчёт ABC-XYZ'!$K$5:$K$34,MATCH($B23,'Расчёт ABC-XYZ'!$O$5:$O$34,0))),INDEX('Расчёт ABC-XYZ'!$K$5:$K$34,MATCH($B23,'Расчёт ABC-XYZ'!$O$5:$O$34,0)),""))</f>
        <v/>
      </c>
      <c r="I23" s="64" t="str">
        <f aca="false">IF($C23="","",'Расчёт ABC-XYZ'!$C$41)</f>
        <v/>
      </c>
      <c r="J23" s="64" t="str">
        <f aca="false">IF($C23="","",'Расчёт ABC-XYZ'!$C$42)</f>
        <v/>
      </c>
    </row>
    <row r="24" customFormat="false" ht="15" hidden="false" customHeight="false" outlineLevel="0" collapsed="false">
      <c r="B24" s="17" t="n">
        <v>19</v>
      </c>
      <c r="C24" s="24" t="str">
        <f aca="false">IF($B24&gt;'Расчёт ABC-XYZ'!$P$35,"",INDEX('Расчёт ABC-XYZ'!$A$5:$A$34,MATCH($B24,'Расчёт ABC-XYZ'!$O$5:$O$34,0)))</f>
        <v/>
      </c>
      <c r="D24" s="26" t="str">
        <f aca="false">IF($C24="","",INDEX('Расчёт ABC-XYZ'!$F$5:$F$34,MATCH($B24,'Расчёт ABC-XYZ'!$O$5:$O$34,0)))</f>
        <v/>
      </c>
      <c r="E24" s="26" t="str">
        <f aca="false">IF($C24="","",INDEX('Расчёт ABC-XYZ'!$G$5:$G$34,MATCH($B24,'Расчёт ABC-XYZ'!$O$5:$O$34,0)))</f>
        <v/>
      </c>
      <c r="F24" s="64" t="str">
        <f aca="false">IF($C24="","",'Расчёт ABC-XYZ'!$C$39)</f>
        <v/>
      </c>
      <c r="G24" s="64" t="str">
        <f aca="false">IF($C24="","",'Расчёт ABC-XYZ'!$C$40)</f>
        <v/>
      </c>
      <c r="H24" s="26" t="str">
        <f aca="false">IF($C24="","",IF(ISNUMBER(INDEX('Расчёт ABC-XYZ'!$K$5:$K$34,MATCH($B24,'Расчёт ABC-XYZ'!$O$5:$O$34,0))),INDEX('Расчёт ABC-XYZ'!$K$5:$K$34,MATCH($B24,'Расчёт ABC-XYZ'!$O$5:$O$34,0)),""))</f>
        <v/>
      </c>
      <c r="I24" s="64" t="str">
        <f aca="false">IF($C24="","",'Расчёт ABC-XYZ'!$C$41)</f>
        <v/>
      </c>
      <c r="J24" s="64" t="str">
        <f aca="false">IF($C24="","",'Расчёт ABC-XYZ'!$C$42)</f>
        <v/>
      </c>
    </row>
    <row r="25" customFormat="false" ht="15" hidden="false" customHeight="false" outlineLevel="0" collapsed="false">
      <c r="B25" s="17" t="n">
        <v>20</v>
      </c>
      <c r="C25" s="24" t="str">
        <f aca="false">IF($B25&gt;'Расчёт ABC-XYZ'!$P$35,"",INDEX('Расчёт ABC-XYZ'!$A$5:$A$34,MATCH($B25,'Расчёт ABC-XYZ'!$O$5:$O$34,0)))</f>
        <v/>
      </c>
      <c r="D25" s="26" t="str">
        <f aca="false">IF($C25="","",INDEX('Расчёт ABC-XYZ'!$F$5:$F$34,MATCH($B25,'Расчёт ABC-XYZ'!$O$5:$O$34,0)))</f>
        <v/>
      </c>
      <c r="E25" s="26" t="str">
        <f aca="false">IF($C25="","",INDEX('Расчёт ABC-XYZ'!$G$5:$G$34,MATCH($B25,'Расчёт ABC-XYZ'!$O$5:$O$34,0)))</f>
        <v/>
      </c>
      <c r="F25" s="64" t="str">
        <f aca="false">IF($C25="","",'Расчёт ABC-XYZ'!$C$39)</f>
        <v/>
      </c>
      <c r="G25" s="64" t="str">
        <f aca="false">IF($C25="","",'Расчёт ABC-XYZ'!$C$40)</f>
        <v/>
      </c>
      <c r="H25" s="26" t="str">
        <f aca="false">IF($C25="","",IF(ISNUMBER(INDEX('Расчёт ABC-XYZ'!$K$5:$K$34,MATCH($B25,'Расчёт ABC-XYZ'!$O$5:$O$34,0))),INDEX('Расчёт ABC-XYZ'!$K$5:$K$34,MATCH($B25,'Расчёт ABC-XYZ'!$O$5:$O$34,0)),""))</f>
        <v/>
      </c>
      <c r="I25" s="64" t="str">
        <f aca="false">IF($C25="","",'Расчёт ABC-XYZ'!$C$41)</f>
        <v/>
      </c>
      <c r="J25" s="64" t="str">
        <f aca="false">IF($C25="","",'Расчёт ABC-XYZ'!$C$42)</f>
        <v/>
      </c>
    </row>
    <row r="26" customFormat="false" ht="15" hidden="false" customHeight="false" outlineLevel="0" collapsed="false">
      <c r="B26" s="17" t="n">
        <v>21</v>
      </c>
      <c r="C26" s="24" t="str">
        <f aca="false">IF($B26&gt;'Расчёт ABC-XYZ'!$P$35,"",INDEX('Расчёт ABC-XYZ'!$A$5:$A$34,MATCH($B26,'Расчёт ABC-XYZ'!$O$5:$O$34,0)))</f>
        <v/>
      </c>
      <c r="D26" s="26" t="str">
        <f aca="false">IF($C26="","",INDEX('Расчёт ABC-XYZ'!$F$5:$F$34,MATCH($B26,'Расчёт ABC-XYZ'!$O$5:$O$34,0)))</f>
        <v/>
      </c>
      <c r="E26" s="26" t="str">
        <f aca="false">IF($C26="","",INDEX('Расчёт ABC-XYZ'!$G$5:$G$34,MATCH($B26,'Расчёт ABC-XYZ'!$O$5:$O$34,0)))</f>
        <v/>
      </c>
      <c r="F26" s="64" t="str">
        <f aca="false">IF($C26="","",'Расчёт ABC-XYZ'!$C$39)</f>
        <v/>
      </c>
      <c r="G26" s="64" t="str">
        <f aca="false">IF($C26="","",'Расчёт ABC-XYZ'!$C$40)</f>
        <v/>
      </c>
      <c r="H26" s="26" t="str">
        <f aca="false">IF($C26="","",IF(ISNUMBER(INDEX('Расчёт ABC-XYZ'!$K$5:$K$34,MATCH($B26,'Расчёт ABC-XYZ'!$O$5:$O$34,0))),INDEX('Расчёт ABC-XYZ'!$K$5:$K$34,MATCH($B26,'Расчёт ABC-XYZ'!$O$5:$O$34,0)),""))</f>
        <v/>
      </c>
      <c r="I26" s="64" t="str">
        <f aca="false">IF($C26="","",'Расчёт ABC-XYZ'!$C$41)</f>
        <v/>
      </c>
      <c r="J26" s="64" t="str">
        <f aca="false">IF($C26="","",'Расчёт ABC-XYZ'!$C$42)</f>
        <v/>
      </c>
    </row>
    <row r="27" customFormat="false" ht="15" hidden="false" customHeight="false" outlineLevel="0" collapsed="false">
      <c r="B27" s="17" t="n">
        <v>22</v>
      </c>
      <c r="C27" s="24" t="str">
        <f aca="false">IF($B27&gt;'Расчёт ABC-XYZ'!$P$35,"",INDEX('Расчёт ABC-XYZ'!$A$5:$A$34,MATCH($B27,'Расчёт ABC-XYZ'!$O$5:$O$34,0)))</f>
        <v/>
      </c>
      <c r="D27" s="26" t="str">
        <f aca="false">IF($C27="","",INDEX('Расчёт ABC-XYZ'!$F$5:$F$34,MATCH($B27,'Расчёт ABC-XYZ'!$O$5:$O$34,0)))</f>
        <v/>
      </c>
      <c r="E27" s="26" t="str">
        <f aca="false">IF($C27="","",INDEX('Расчёт ABC-XYZ'!$G$5:$G$34,MATCH($B27,'Расчёт ABC-XYZ'!$O$5:$O$34,0)))</f>
        <v/>
      </c>
      <c r="F27" s="64" t="str">
        <f aca="false">IF($C27="","",'Расчёт ABC-XYZ'!$C$39)</f>
        <v/>
      </c>
      <c r="G27" s="64" t="str">
        <f aca="false">IF($C27="","",'Расчёт ABC-XYZ'!$C$40)</f>
        <v/>
      </c>
      <c r="H27" s="26" t="str">
        <f aca="false">IF($C27="","",IF(ISNUMBER(INDEX('Расчёт ABC-XYZ'!$K$5:$K$34,MATCH($B27,'Расчёт ABC-XYZ'!$O$5:$O$34,0))),INDEX('Расчёт ABC-XYZ'!$K$5:$K$34,MATCH($B27,'Расчёт ABC-XYZ'!$O$5:$O$34,0)),""))</f>
        <v/>
      </c>
      <c r="I27" s="64" t="str">
        <f aca="false">IF($C27="","",'Расчёт ABC-XYZ'!$C$41)</f>
        <v/>
      </c>
      <c r="J27" s="64" t="str">
        <f aca="false">IF($C27="","",'Расчёт ABC-XYZ'!$C$42)</f>
        <v/>
      </c>
    </row>
    <row r="28" customFormat="false" ht="15" hidden="false" customHeight="false" outlineLevel="0" collapsed="false">
      <c r="B28" s="17" t="n">
        <v>23</v>
      </c>
      <c r="C28" s="24" t="str">
        <f aca="false">IF($B28&gt;'Расчёт ABC-XYZ'!$P$35,"",INDEX('Расчёт ABC-XYZ'!$A$5:$A$34,MATCH($B28,'Расчёт ABC-XYZ'!$O$5:$O$34,0)))</f>
        <v/>
      </c>
      <c r="D28" s="26" t="str">
        <f aca="false">IF($C28="","",INDEX('Расчёт ABC-XYZ'!$F$5:$F$34,MATCH($B28,'Расчёт ABC-XYZ'!$O$5:$O$34,0)))</f>
        <v/>
      </c>
      <c r="E28" s="26" t="str">
        <f aca="false">IF($C28="","",INDEX('Расчёт ABC-XYZ'!$G$5:$G$34,MATCH($B28,'Расчёт ABC-XYZ'!$O$5:$O$34,0)))</f>
        <v/>
      </c>
      <c r="F28" s="64" t="str">
        <f aca="false">IF($C28="","",'Расчёт ABC-XYZ'!$C$39)</f>
        <v/>
      </c>
      <c r="G28" s="64" t="str">
        <f aca="false">IF($C28="","",'Расчёт ABC-XYZ'!$C$40)</f>
        <v/>
      </c>
      <c r="H28" s="26" t="str">
        <f aca="false">IF($C28="","",IF(ISNUMBER(INDEX('Расчёт ABC-XYZ'!$K$5:$K$34,MATCH($B28,'Расчёт ABC-XYZ'!$O$5:$O$34,0))),INDEX('Расчёт ABC-XYZ'!$K$5:$K$34,MATCH($B28,'Расчёт ABC-XYZ'!$O$5:$O$34,0)),""))</f>
        <v/>
      </c>
      <c r="I28" s="64" t="str">
        <f aca="false">IF($C28="","",'Расчёт ABC-XYZ'!$C$41)</f>
        <v/>
      </c>
      <c r="J28" s="64" t="str">
        <f aca="false">IF($C28="","",'Расчёт ABC-XYZ'!$C$42)</f>
        <v/>
      </c>
    </row>
    <row r="29" customFormat="false" ht="15" hidden="false" customHeight="false" outlineLevel="0" collapsed="false">
      <c r="B29" s="17" t="n">
        <v>24</v>
      </c>
      <c r="C29" s="24" t="str">
        <f aca="false">IF($B29&gt;'Расчёт ABC-XYZ'!$P$35,"",INDEX('Расчёт ABC-XYZ'!$A$5:$A$34,MATCH($B29,'Расчёт ABC-XYZ'!$O$5:$O$34,0)))</f>
        <v/>
      </c>
      <c r="D29" s="26" t="str">
        <f aca="false">IF($C29="","",INDEX('Расчёт ABC-XYZ'!$F$5:$F$34,MATCH($B29,'Расчёт ABC-XYZ'!$O$5:$O$34,0)))</f>
        <v/>
      </c>
      <c r="E29" s="26" t="str">
        <f aca="false">IF($C29="","",INDEX('Расчёт ABC-XYZ'!$G$5:$G$34,MATCH($B29,'Расчёт ABC-XYZ'!$O$5:$O$34,0)))</f>
        <v/>
      </c>
      <c r="F29" s="64" t="str">
        <f aca="false">IF($C29="","",'Расчёт ABC-XYZ'!$C$39)</f>
        <v/>
      </c>
      <c r="G29" s="64" t="str">
        <f aca="false">IF($C29="","",'Расчёт ABC-XYZ'!$C$40)</f>
        <v/>
      </c>
      <c r="H29" s="26" t="str">
        <f aca="false">IF($C29="","",IF(ISNUMBER(INDEX('Расчёт ABC-XYZ'!$K$5:$K$34,MATCH($B29,'Расчёт ABC-XYZ'!$O$5:$O$34,0))),INDEX('Расчёт ABC-XYZ'!$K$5:$K$34,MATCH($B29,'Расчёт ABC-XYZ'!$O$5:$O$34,0)),""))</f>
        <v/>
      </c>
      <c r="I29" s="64" t="str">
        <f aca="false">IF($C29="","",'Расчёт ABC-XYZ'!$C$41)</f>
        <v/>
      </c>
      <c r="J29" s="64" t="str">
        <f aca="false">IF($C29="","",'Расчёт ABC-XYZ'!$C$42)</f>
        <v/>
      </c>
    </row>
    <row r="30" customFormat="false" ht="15" hidden="false" customHeight="false" outlineLevel="0" collapsed="false">
      <c r="B30" s="17" t="n">
        <v>25</v>
      </c>
      <c r="C30" s="24" t="str">
        <f aca="false">IF($B30&gt;'Расчёт ABC-XYZ'!$P$35,"",INDEX('Расчёт ABC-XYZ'!$A$5:$A$34,MATCH($B30,'Расчёт ABC-XYZ'!$O$5:$O$34,0)))</f>
        <v/>
      </c>
      <c r="D30" s="26" t="str">
        <f aca="false">IF($C30="","",INDEX('Расчёт ABC-XYZ'!$F$5:$F$34,MATCH($B30,'Расчёт ABC-XYZ'!$O$5:$O$34,0)))</f>
        <v/>
      </c>
      <c r="E30" s="26" t="str">
        <f aca="false">IF($C30="","",INDEX('Расчёт ABC-XYZ'!$G$5:$G$34,MATCH($B30,'Расчёт ABC-XYZ'!$O$5:$O$34,0)))</f>
        <v/>
      </c>
      <c r="F30" s="64" t="str">
        <f aca="false">IF($C30="","",'Расчёт ABC-XYZ'!$C$39)</f>
        <v/>
      </c>
      <c r="G30" s="64" t="str">
        <f aca="false">IF($C30="","",'Расчёт ABC-XYZ'!$C$40)</f>
        <v/>
      </c>
      <c r="H30" s="26" t="str">
        <f aca="false">IF($C30="","",IF(ISNUMBER(INDEX('Расчёт ABC-XYZ'!$K$5:$K$34,MATCH($B30,'Расчёт ABC-XYZ'!$O$5:$O$34,0))),INDEX('Расчёт ABC-XYZ'!$K$5:$K$34,MATCH($B30,'Расчёт ABC-XYZ'!$O$5:$O$34,0)),""))</f>
        <v/>
      </c>
      <c r="I30" s="64" t="str">
        <f aca="false">IF($C30="","",'Расчёт ABC-XYZ'!$C$41)</f>
        <v/>
      </c>
      <c r="J30" s="64" t="str">
        <f aca="false">IF($C30="","",'Расчёт ABC-XYZ'!$C$42)</f>
        <v/>
      </c>
    </row>
    <row r="31" customFormat="false" ht="15" hidden="false" customHeight="false" outlineLevel="0" collapsed="false">
      <c r="B31" s="17" t="n">
        <v>26</v>
      </c>
      <c r="C31" s="24" t="str">
        <f aca="false">IF($B31&gt;'Расчёт ABC-XYZ'!$P$35,"",INDEX('Расчёт ABC-XYZ'!$A$5:$A$34,MATCH($B31,'Расчёт ABC-XYZ'!$O$5:$O$34,0)))</f>
        <v/>
      </c>
      <c r="D31" s="26" t="str">
        <f aca="false">IF($C31="","",INDEX('Расчёт ABC-XYZ'!$F$5:$F$34,MATCH($B31,'Расчёт ABC-XYZ'!$O$5:$O$34,0)))</f>
        <v/>
      </c>
      <c r="E31" s="26" t="str">
        <f aca="false">IF($C31="","",INDEX('Расчёт ABC-XYZ'!$G$5:$G$34,MATCH($B31,'Расчёт ABC-XYZ'!$O$5:$O$34,0)))</f>
        <v/>
      </c>
      <c r="F31" s="64" t="str">
        <f aca="false">IF($C31="","",'Расчёт ABC-XYZ'!$C$39)</f>
        <v/>
      </c>
      <c r="G31" s="64" t="str">
        <f aca="false">IF($C31="","",'Расчёт ABC-XYZ'!$C$40)</f>
        <v/>
      </c>
      <c r="H31" s="26" t="str">
        <f aca="false">IF($C31="","",IF(ISNUMBER(INDEX('Расчёт ABC-XYZ'!$K$5:$K$34,MATCH($B31,'Расчёт ABC-XYZ'!$O$5:$O$34,0))),INDEX('Расчёт ABC-XYZ'!$K$5:$K$34,MATCH($B31,'Расчёт ABC-XYZ'!$O$5:$O$34,0)),""))</f>
        <v/>
      </c>
      <c r="I31" s="64" t="str">
        <f aca="false">IF($C31="","",'Расчёт ABC-XYZ'!$C$41)</f>
        <v/>
      </c>
      <c r="J31" s="64" t="str">
        <f aca="false">IF($C31="","",'Расчёт ABC-XYZ'!$C$42)</f>
        <v/>
      </c>
    </row>
    <row r="32" customFormat="false" ht="15" hidden="false" customHeight="false" outlineLevel="0" collapsed="false">
      <c r="B32" s="17" t="n">
        <v>27</v>
      </c>
      <c r="C32" s="24" t="str">
        <f aca="false">IF($B32&gt;'Расчёт ABC-XYZ'!$P$35,"",INDEX('Расчёт ABC-XYZ'!$A$5:$A$34,MATCH($B32,'Расчёт ABC-XYZ'!$O$5:$O$34,0)))</f>
        <v/>
      </c>
      <c r="D32" s="26" t="str">
        <f aca="false">IF($C32="","",INDEX('Расчёт ABC-XYZ'!$F$5:$F$34,MATCH($B32,'Расчёт ABC-XYZ'!$O$5:$O$34,0)))</f>
        <v/>
      </c>
      <c r="E32" s="26" t="str">
        <f aca="false">IF($C32="","",INDEX('Расчёт ABC-XYZ'!$G$5:$G$34,MATCH($B32,'Расчёт ABC-XYZ'!$O$5:$O$34,0)))</f>
        <v/>
      </c>
      <c r="F32" s="64" t="str">
        <f aca="false">IF($C32="","",'Расчёт ABC-XYZ'!$C$39)</f>
        <v/>
      </c>
      <c r="G32" s="64" t="str">
        <f aca="false">IF($C32="","",'Расчёт ABC-XYZ'!$C$40)</f>
        <v/>
      </c>
      <c r="H32" s="26" t="str">
        <f aca="false">IF($C32="","",IF(ISNUMBER(INDEX('Расчёт ABC-XYZ'!$K$5:$K$34,MATCH($B32,'Расчёт ABC-XYZ'!$O$5:$O$34,0))),INDEX('Расчёт ABC-XYZ'!$K$5:$K$34,MATCH($B32,'Расчёт ABC-XYZ'!$O$5:$O$34,0)),""))</f>
        <v/>
      </c>
      <c r="I32" s="64" t="str">
        <f aca="false">IF($C32="","",'Расчёт ABC-XYZ'!$C$41)</f>
        <v/>
      </c>
      <c r="J32" s="64" t="str">
        <f aca="false">IF($C32="","",'Расчёт ABC-XYZ'!$C$42)</f>
        <v/>
      </c>
    </row>
    <row r="33" customFormat="false" ht="15" hidden="false" customHeight="false" outlineLevel="0" collapsed="false">
      <c r="B33" s="17" t="n">
        <v>28</v>
      </c>
      <c r="C33" s="24" t="str">
        <f aca="false">IF($B33&gt;'Расчёт ABC-XYZ'!$P$35,"",INDEX('Расчёт ABC-XYZ'!$A$5:$A$34,MATCH($B33,'Расчёт ABC-XYZ'!$O$5:$O$34,0)))</f>
        <v/>
      </c>
      <c r="D33" s="26" t="str">
        <f aca="false">IF($C33="","",INDEX('Расчёт ABC-XYZ'!$F$5:$F$34,MATCH($B33,'Расчёт ABC-XYZ'!$O$5:$O$34,0)))</f>
        <v/>
      </c>
      <c r="E33" s="26" t="str">
        <f aca="false">IF($C33="","",INDEX('Расчёт ABC-XYZ'!$G$5:$G$34,MATCH($B33,'Расчёт ABC-XYZ'!$O$5:$O$34,0)))</f>
        <v/>
      </c>
      <c r="F33" s="64" t="str">
        <f aca="false">IF($C33="","",'Расчёт ABC-XYZ'!$C$39)</f>
        <v/>
      </c>
      <c r="G33" s="64" t="str">
        <f aca="false">IF($C33="","",'Расчёт ABC-XYZ'!$C$40)</f>
        <v/>
      </c>
      <c r="H33" s="26" t="str">
        <f aca="false">IF($C33="","",IF(ISNUMBER(INDEX('Расчёт ABC-XYZ'!$K$5:$K$34,MATCH($B33,'Расчёт ABC-XYZ'!$O$5:$O$34,0))),INDEX('Расчёт ABC-XYZ'!$K$5:$K$34,MATCH($B33,'Расчёт ABC-XYZ'!$O$5:$O$34,0)),""))</f>
        <v/>
      </c>
      <c r="I33" s="64" t="str">
        <f aca="false">IF($C33="","",'Расчёт ABC-XYZ'!$C$41)</f>
        <v/>
      </c>
      <c r="J33" s="64" t="str">
        <f aca="false">IF($C33="","",'Расчёт ABC-XYZ'!$C$42)</f>
        <v/>
      </c>
    </row>
    <row r="34" customFormat="false" ht="15" hidden="false" customHeight="false" outlineLevel="0" collapsed="false">
      <c r="B34" s="17" t="n">
        <v>29</v>
      </c>
      <c r="C34" s="24" t="str">
        <f aca="false">IF($B34&gt;'Расчёт ABC-XYZ'!$P$35,"",INDEX('Расчёт ABC-XYZ'!$A$5:$A$34,MATCH($B34,'Расчёт ABC-XYZ'!$O$5:$O$34,0)))</f>
        <v/>
      </c>
      <c r="D34" s="26" t="str">
        <f aca="false">IF($C34="","",INDEX('Расчёт ABC-XYZ'!$F$5:$F$34,MATCH($B34,'Расчёт ABC-XYZ'!$O$5:$O$34,0)))</f>
        <v/>
      </c>
      <c r="E34" s="26" t="str">
        <f aca="false">IF($C34="","",INDEX('Расчёт ABC-XYZ'!$G$5:$G$34,MATCH($B34,'Расчёт ABC-XYZ'!$O$5:$O$34,0)))</f>
        <v/>
      </c>
      <c r="F34" s="64" t="str">
        <f aca="false">IF($C34="","",'Расчёт ABC-XYZ'!$C$39)</f>
        <v/>
      </c>
      <c r="G34" s="64" t="str">
        <f aca="false">IF($C34="","",'Расчёт ABC-XYZ'!$C$40)</f>
        <v/>
      </c>
      <c r="H34" s="26" t="str">
        <f aca="false">IF($C34="","",IF(ISNUMBER(INDEX('Расчёт ABC-XYZ'!$K$5:$K$34,MATCH($B34,'Расчёт ABC-XYZ'!$O$5:$O$34,0))),INDEX('Расчёт ABC-XYZ'!$K$5:$K$34,MATCH($B34,'Расчёт ABC-XYZ'!$O$5:$O$34,0)),""))</f>
        <v/>
      </c>
      <c r="I34" s="64" t="str">
        <f aca="false">IF($C34="","",'Расчёт ABC-XYZ'!$C$41)</f>
        <v/>
      </c>
      <c r="J34" s="64" t="str">
        <f aca="false">IF($C34="","",'Расчёт ABC-XYZ'!$C$42)</f>
        <v/>
      </c>
    </row>
    <row r="35" customFormat="false" ht="15" hidden="false" customHeight="false" outlineLevel="0" collapsed="false">
      <c r="B35" s="17" t="n">
        <v>30</v>
      </c>
      <c r="C35" s="24" t="str">
        <f aca="false">IF($B35&gt;'Расчёт ABC-XYZ'!$P$35,"",INDEX('Расчёт ABC-XYZ'!$A$5:$A$34,MATCH($B35,'Расчёт ABC-XYZ'!$O$5:$O$34,0)))</f>
        <v/>
      </c>
      <c r="D35" s="26" t="str">
        <f aca="false">IF($C35="","",INDEX('Расчёт ABC-XYZ'!$F$5:$F$34,MATCH($B35,'Расчёт ABC-XYZ'!$O$5:$O$34,0)))</f>
        <v/>
      </c>
      <c r="E35" s="26" t="str">
        <f aca="false">IF($C35="","",INDEX('Расчёт ABC-XYZ'!$G$5:$G$34,MATCH($B35,'Расчёт ABC-XYZ'!$O$5:$O$34,0)))</f>
        <v/>
      </c>
      <c r="F35" s="64" t="str">
        <f aca="false">IF($C35="","",'Расчёт ABC-XYZ'!$C$39)</f>
        <v/>
      </c>
      <c r="G35" s="64" t="str">
        <f aca="false">IF($C35="","",'Расчёт ABC-XYZ'!$C$40)</f>
        <v/>
      </c>
      <c r="H35" s="26" t="str">
        <f aca="false">IF($C35="","",IF(ISNUMBER(INDEX('Расчёт ABC-XYZ'!$K$5:$K$34,MATCH($B35,'Расчёт ABC-XYZ'!$O$5:$O$34,0))),INDEX('Расчёт ABC-XYZ'!$K$5:$K$34,MATCH($B35,'Расчёт ABC-XYZ'!$O$5:$O$34,0)),""))</f>
        <v/>
      </c>
      <c r="I35" s="64" t="str">
        <f aca="false">IF($C35="","",'Расчёт ABC-XYZ'!$C$41)</f>
        <v/>
      </c>
      <c r="J35" s="64" t="str">
        <f aca="false">IF($C35="","",'Расчёт ABC-XYZ'!$C$42)</f>
        <v/>
      </c>
    </row>
    <row r="37" customFormat="false" ht="21.75" hidden="false" customHeight="true" outlineLevel="0" collapsed="false">
      <c r="B37" s="15" t="s">
        <v>174</v>
      </c>
      <c r="C37" s="15"/>
      <c r="D37" s="15"/>
      <c r="E37" s="15"/>
      <c r="F37" s="15"/>
      <c r="G37" s="15"/>
      <c r="H37" s="15"/>
      <c r="I37" s="15"/>
      <c r="J37" s="15"/>
    </row>
    <row r="38" customFormat="false" ht="15" hidden="false" customHeight="false" outlineLevel="0" collapsed="false">
      <c r="B38" s="15"/>
      <c r="C38" s="15"/>
      <c r="D38" s="15"/>
      <c r="E38" s="15"/>
      <c r="F38" s="15"/>
      <c r="G38" s="15"/>
      <c r="H38" s="15"/>
      <c r="I38" s="15"/>
      <c r="J38" s="15"/>
    </row>
    <row r="39" customFormat="false" ht="15" hidden="false" customHeight="false" outlineLevel="0" collapsed="false">
      <c r="B39" s="15"/>
      <c r="C39" s="15"/>
      <c r="D39" s="15"/>
      <c r="E39" s="15"/>
      <c r="F39" s="15"/>
      <c r="G39" s="15"/>
      <c r="H39" s="15"/>
      <c r="I39" s="15"/>
      <c r="J39" s="15"/>
    </row>
    <row r="41" customFormat="false" ht="21.75" hidden="false" customHeight="true" outlineLevel="0" collapsed="false">
      <c r="B41" s="15" t="s">
        <v>175</v>
      </c>
      <c r="C41" s="15"/>
      <c r="D41" s="15"/>
      <c r="E41" s="15"/>
      <c r="F41" s="15"/>
      <c r="G41" s="15"/>
      <c r="H41" s="15"/>
      <c r="I41" s="15"/>
      <c r="J41" s="15"/>
    </row>
    <row r="42" customFormat="false" ht="15" hidden="false" customHeight="false" outlineLevel="0" collapsed="false">
      <c r="B42" s="15"/>
      <c r="C42" s="15"/>
      <c r="D42" s="15"/>
      <c r="E42" s="15"/>
      <c r="F42" s="15"/>
      <c r="G42" s="15"/>
      <c r="H42" s="15"/>
      <c r="I42" s="15"/>
      <c r="J42" s="15"/>
    </row>
    <row r="43" customFormat="false" ht="15" hidden="false" customHeight="false" outlineLevel="0" collapsed="false">
      <c r="B43" s="15"/>
      <c r="C43" s="15"/>
      <c r="D43" s="15"/>
      <c r="E43" s="15"/>
      <c r="F43" s="15"/>
      <c r="G43" s="15"/>
      <c r="H43" s="15"/>
      <c r="I43" s="15"/>
      <c r="J43" s="15"/>
    </row>
    <row r="45" customFormat="false" ht="21.75" hidden="false" customHeight="true" outlineLevel="0" collapsed="false">
      <c r="B45" s="15" t="s">
        <v>176</v>
      </c>
      <c r="C45" s="15"/>
      <c r="D45" s="15"/>
      <c r="E45" s="15"/>
      <c r="F45" s="15"/>
      <c r="G45" s="15"/>
      <c r="H45" s="15"/>
      <c r="I45" s="15"/>
      <c r="J45" s="15"/>
    </row>
    <row r="46" customFormat="false" ht="15" hidden="false" customHeight="false" outlineLevel="0" collapsed="false">
      <c r="B46" s="15"/>
      <c r="C46" s="15"/>
      <c r="D46" s="15"/>
      <c r="E46" s="15"/>
      <c r="F46" s="15"/>
      <c r="G46" s="15"/>
      <c r="H46" s="15"/>
      <c r="I46" s="15"/>
      <c r="J46" s="15"/>
    </row>
    <row r="47" customFormat="false" ht="15" hidden="false" customHeight="false" outlineLevel="0" collapsed="false">
      <c r="B47" s="15"/>
      <c r="C47" s="15"/>
      <c r="D47" s="15"/>
      <c r="E47" s="15"/>
      <c r="F47" s="15"/>
      <c r="G47" s="15"/>
      <c r="H47" s="15"/>
      <c r="I47" s="15"/>
      <c r="J47" s="15"/>
    </row>
  </sheetData>
  <mergeCells count="5">
    <mergeCell ref="B1:T1"/>
    <mergeCell ref="B2:T2"/>
    <mergeCell ref="B37:J39"/>
    <mergeCell ref="B41:J43"/>
    <mergeCell ref="B45:J47"/>
  </mergeCell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Курс «Управление запасами» · Дмитрий Фролов · урок 1.2 · SCM_1_2_ABC_XYZ_Template.xlsx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794"/>
    <pageSetUpPr fitToPage="true"/>
  </sheetPr>
  <dimension ref="B1:E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32"/>
    <col collapsed="false" customWidth="true" hidden="false" outlineLevel="0" max="4" min="4" style="0" width="54"/>
    <col collapsed="false" customWidth="true" hidden="false" outlineLevel="0" max="5" min="5" style="0" width="46"/>
    <col collapsed="false" customWidth="true" hidden="false" outlineLevel="0" max="6" min="6" style="0" width="3"/>
  </cols>
  <sheetData>
    <row r="1" customFormat="false" ht="30" hidden="false" customHeight="true" outlineLevel="0" collapsed="false">
      <c r="B1" s="1" t="s">
        <v>177</v>
      </c>
      <c r="C1" s="1"/>
      <c r="D1" s="1"/>
      <c r="E1" s="1"/>
    </row>
    <row r="2" customFormat="false" ht="30" hidden="false" customHeight="true" outlineLevel="0" collapsed="false">
      <c r="B2" s="2" t="s">
        <v>178</v>
      </c>
      <c r="C2" s="2"/>
      <c r="D2" s="2"/>
      <c r="E2" s="2"/>
    </row>
    <row r="4" customFormat="false" ht="21.75" hidden="false" customHeight="true" outlineLevel="0" collapsed="false">
      <c r="B4" s="3" t="s">
        <v>179</v>
      </c>
    </row>
    <row r="5" customFormat="false" ht="21.75" hidden="false" customHeight="true" outlineLevel="0" collapsed="false">
      <c r="B5" s="12" t="s">
        <v>180</v>
      </c>
      <c r="C5" s="12" t="s">
        <v>107</v>
      </c>
      <c r="D5" s="12" t="s">
        <v>181</v>
      </c>
      <c r="E5" s="12"/>
    </row>
    <row r="6" customFormat="false" ht="19.5" hidden="false" customHeight="true" outlineLevel="0" collapsed="false">
      <c r="B6" s="29" t="s">
        <v>182</v>
      </c>
      <c r="C6" s="14" t="s">
        <v>183</v>
      </c>
      <c r="D6" s="14" t="s">
        <v>184</v>
      </c>
      <c r="E6" s="14"/>
    </row>
    <row r="7" customFormat="false" ht="19.5" hidden="false" customHeight="true" outlineLevel="0" collapsed="false">
      <c r="B7" s="29" t="s">
        <v>185</v>
      </c>
      <c r="C7" s="14" t="s">
        <v>186</v>
      </c>
      <c r="D7" s="14" t="s">
        <v>187</v>
      </c>
      <c r="E7" s="14"/>
    </row>
    <row r="8" customFormat="false" ht="19.5" hidden="false" customHeight="true" outlineLevel="0" collapsed="false">
      <c r="B8" s="29" t="s">
        <v>188</v>
      </c>
      <c r="C8" s="14" t="s">
        <v>189</v>
      </c>
      <c r="D8" s="14" t="s">
        <v>190</v>
      </c>
      <c r="E8" s="14"/>
    </row>
    <row r="9" customFormat="false" ht="19.5" hidden="false" customHeight="true" outlineLevel="0" collapsed="false">
      <c r="B9" s="29" t="s">
        <v>191</v>
      </c>
      <c r="C9" s="14" t="s">
        <v>192</v>
      </c>
      <c r="D9" s="14" t="s">
        <v>193</v>
      </c>
      <c r="E9" s="14"/>
    </row>
    <row r="10" customFormat="false" ht="19.5" hidden="false" customHeight="true" outlineLevel="0" collapsed="false">
      <c r="B10" s="29" t="s">
        <v>194</v>
      </c>
      <c r="C10" s="14" t="s">
        <v>195</v>
      </c>
      <c r="D10" s="14" t="s">
        <v>196</v>
      </c>
      <c r="E10" s="14"/>
    </row>
    <row r="11" customFormat="false" ht="19.5" hidden="false" customHeight="true" outlineLevel="0" collapsed="false">
      <c r="B11" s="29" t="s">
        <v>197</v>
      </c>
      <c r="C11" s="14" t="s">
        <v>198</v>
      </c>
      <c r="D11" s="14" t="s">
        <v>199</v>
      </c>
      <c r="E11" s="14"/>
    </row>
    <row r="12" customFormat="false" ht="19.5" hidden="false" customHeight="true" outlineLevel="0" collapsed="false">
      <c r="B12" s="29" t="s">
        <v>200</v>
      </c>
      <c r="C12" s="14" t="s">
        <v>201</v>
      </c>
      <c r="D12" s="14" t="s">
        <v>202</v>
      </c>
      <c r="E12" s="14"/>
    </row>
    <row r="13" customFormat="false" ht="19.5" hidden="false" customHeight="true" outlineLevel="0" collapsed="false">
      <c r="B13" s="29" t="s">
        <v>203</v>
      </c>
      <c r="C13" s="14" t="s">
        <v>204</v>
      </c>
      <c r="D13" s="14" t="s">
        <v>205</v>
      </c>
      <c r="E13" s="14"/>
    </row>
    <row r="14" customFormat="false" ht="19.5" hidden="false" customHeight="true" outlineLevel="0" collapsed="false">
      <c r="B14" s="29" t="s">
        <v>206</v>
      </c>
      <c r="C14" s="14" t="s">
        <v>207</v>
      </c>
      <c r="D14" s="14" t="s">
        <v>208</v>
      </c>
      <c r="E14" s="14"/>
    </row>
    <row r="16" customFormat="false" ht="21.75" hidden="false" customHeight="true" outlineLevel="0" collapsed="false">
      <c r="B16" s="3" t="s">
        <v>209</v>
      </c>
    </row>
    <row r="17" customFormat="false" ht="21.75" hidden="false" customHeight="true" outlineLevel="0" collapsed="false">
      <c r="B17" s="12" t="s">
        <v>210</v>
      </c>
      <c r="C17" s="12" t="s">
        <v>211</v>
      </c>
      <c r="D17" s="12" t="s">
        <v>212</v>
      </c>
      <c r="E17" s="12" t="s">
        <v>213</v>
      </c>
    </row>
    <row r="18" customFormat="false" ht="31.5" hidden="false" customHeight="true" outlineLevel="0" collapsed="false">
      <c r="B18" s="29" t="s">
        <v>214</v>
      </c>
      <c r="C18" s="14" t="s">
        <v>215</v>
      </c>
      <c r="D18" s="14" t="s">
        <v>216</v>
      </c>
      <c r="E18" s="14" t="s">
        <v>217</v>
      </c>
    </row>
    <row r="19" customFormat="false" ht="31.5" hidden="false" customHeight="true" outlineLevel="0" collapsed="false">
      <c r="B19" s="29" t="s">
        <v>218</v>
      </c>
      <c r="C19" s="14" t="s">
        <v>219</v>
      </c>
      <c r="D19" s="14" t="s">
        <v>220</v>
      </c>
      <c r="E19" s="14" t="s">
        <v>221</v>
      </c>
    </row>
    <row r="20" customFormat="false" ht="31.5" hidden="false" customHeight="true" outlineLevel="0" collapsed="false">
      <c r="B20" s="29" t="s">
        <v>222</v>
      </c>
      <c r="C20" s="14" t="s">
        <v>223</v>
      </c>
      <c r="D20" s="14" t="s">
        <v>224</v>
      </c>
      <c r="E20" s="14" t="s">
        <v>225</v>
      </c>
    </row>
    <row r="21" customFormat="false" ht="31.5" hidden="false" customHeight="true" outlineLevel="0" collapsed="false">
      <c r="B21" s="29" t="s">
        <v>226</v>
      </c>
      <c r="C21" s="14" t="s">
        <v>227</v>
      </c>
      <c r="D21" s="14" t="s">
        <v>228</v>
      </c>
      <c r="E21" s="14" t="s">
        <v>229</v>
      </c>
    </row>
    <row r="22" customFormat="false" ht="31.5" hidden="false" customHeight="true" outlineLevel="0" collapsed="false">
      <c r="B22" s="29" t="s">
        <v>230</v>
      </c>
      <c r="C22" s="14" t="s">
        <v>231</v>
      </c>
      <c r="D22" s="14" t="s">
        <v>232</v>
      </c>
      <c r="E22" s="14" t="s">
        <v>233</v>
      </c>
    </row>
    <row r="23" customFormat="false" ht="19.5" hidden="false" customHeight="true" outlineLevel="0" collapsed="false">
      <c r="B23" s="15" t="s">
        <v>234</v>
      </c>
      <c r="C23" s="15"/>
      <c r="D23" s="15"/>
      <c r="E23" s="15"/>
    </row>
    <row r="24" customFormat="false" ht="21.75" hidden="false" customHeight="true" outlineLevel="0" collapsed="false">
      <c r="B24" s="3" t="s">
        <v>235</v>
      </c>
    </row>
    <row r="25" customFormat="false" ht="33.75" hidden="false" customHeight="true" outlineLevel="0" collapsed="false">
      <c r="B25" s="65" t="s">
        <v>236</v>
      </c>
      <c r="C25" s="65"/>
      <c r="D25" s="14" t="s">
        <v>237</v>
      </c>
      <c r="E25" s="14"/>
    </row>
    <row r="26" customFormat="false" ht="33.75" hidden="false" customHeight="true" outlineLevel="0" collapsed="false">
      <c r="B26" s="65" t="s">
        <v>238</v>
      </c>
      <c r="C26" s="65"/>
      <c r="D26" s="14" t="s">
        <v>239</v>
      </c>
      <c r="E26" s="14"/>
    </row>
    <row r="27" customFormat="false" ht="33.75" hidden="false" customHeight="true" outlineLevel="0" collapsed="false">
      <c r="B27" s="65" t="s">
        <v>240</v>
      </c>
      <c r="C27" s="65"/>
      <c r="D27" s="14" t="s">
        <v>241</v>
      </c>
      <c r="E27" s="14"/>
    </row>
    <row r="29" customFormat="false" ht="21.75" hidden="false" customHeight="true" outlineLevel="0" collapsed="false">
      <c r="B29" s="3" t="s">
        <v>242</v>
      </c>
    </row>
    <row r="30" customFormat="false" ht="33.75" hidden="false" customHeight="true" outlineLevel="0" collapsed="false">
      <c r="B30" s="65" t="s">
        <v>243</v>
      </c>
      <c r="C30" s="14" t="s">
        <v>244</v>
      </c>
      <c r="D30" s="14"/>
      <c r="E30" s="14"/>
    </row>
    <row r="31" customFormat="false" ht="33.75" hidden="false" customHeight="true" outlineLevel="0" collapsed="false">
      <c r="B31" s="65" t="s">
        <v>245</v>
      </c>
      <c r="C31" s="14" t="s">
        <v>246</v>
      </c>
      <c r="D31" s="14"/>
      <c r="E31" s="14"/>
    </row>
    <row r="32" customFormat="false" ht="33.75" hidden="false" customHeight="true" outlineLevel="0" collapsed="false">
      <c r="B32" s="65" t="s">
        <v>247</v>
      </c>
      <c r="C32" s="14" t="s">
        <v>248</v>
      </c>
      <c r="D32" s="14"/>
      <c r="E32" s="14"/>
    </row>
    <row r="33" customFormat="false" ht="33.75" hidden="false" customHeight="true" outlineLevel="0" collapsed="false">
      <c r="B33" s="65" t="s">
        <v>249</v>
      </c>
      <c r="C33" s="14" t="s">
        <v>250</v>
      </c>
      <c r="D33" s="14"/>
      <c r="E33" s="14"/>
    </row>
    <row r="35" customFormat="false" ht="21.75" hidden="false" customHeight="true" outlineLevel="0" collapsed="false">
      <c r="B35" s="3" t="s">
        <v>251</v>
      </c>
    </row>
    <row r="36" customFormat="false" ht="21.75" hidden="false" customHeight="true" outlineLevel="0" collapsed="false">
      <c r="B36" s="12" t="s">
        <v>252</v>
      </c>
      <c r="C36" s="12" t="s">
        <v>253</v>
      </c>
      <c r="D36" s="12" t="s">
        <v>254</v>
      </c>
      <c r="E36" s="12" t="s">
        <v>255</v>
      </c>
    </row>
    <row r="37" customFormat="false" ht="30" hidden="false" customHeight="true" outlineLevel="0" collapsed="false">
      <c r="B37" s="65" t="s">
        <v>256</v>
      </c>
      <c r="C37" s="14" t="s">
        <v>257</v>
      </c>
      <c r="D37" s="14" t="s">
        <v>258</v>
      </c>
      <c r="E37" s="14" t="s">
        <v>259</v>
      </c>
    </row>
    <row r="38" customFormat="false" ht="30" hidden="false" customHeight="true" outlineLevel="0" collapsed="false">
      <c r="B38" s="65" t="s">
        <v>260</v>
      </c>
      <c r="C38" s="14" t="s">
        <v>261</v>
      </c>
      <c r="D38" s="14" t="s">
        <v>262</v>
      </c>
      <c r="E38" s="14" t="s">
        <v>263</v>
      </c>
    </row>
    <row r="39" customFormat="false" ht="30" hidden="false" customHeight="true" outlineLevel="0" collapsed="false">
      <c r="B39" s="65" t="s">
        <v>264</v>
      </c>
      <c r="C39" s="14" t="s">
        <v>265</v>
      </c>
      <c r="D39" s="14" t="s">
        <v>266</v>
      </c>
      <c r="E39" s="14" t="s">
        <v>267</v>
      </c>
    </row>
    <row r="40" customFormat="false" ht="30" hidden="false" customHeight="true" outlineLevel="0" collapsed="false">
      <c r="B40" s="65" t="s">
        <v>268</v>
      </c>
      <c r="C40" s="14" t="s">
        <v>269</v>
      </c>
      <c r="D40" s="14" t="s">
        <v>270</v>
      </c>
      <c r="E40" s="14" t="s">
        <v>271</v>
      </c>
    </row>
    <row r="41" customFormat="false" ht="30" hidden="false" customHeight="true" outlineLevel="0" collapsed="false">
      <c r="B41" s="65" t="s">
        <v>272</v>
      </c>
      <c r="C41" s="14" t="s">
        <v>273</v>
      </c>
      <c r="D41" s="14" t="s">
        <v>274</v>
      </c>
      <c r="E41" s="14" t="s">
        <v>275</v>
      </c>
    </row>
    <row r="42" customFormat="false" ht="30" hidden="false" customHeight="true" outlineLevel="0" collapsed="false">
      <c r="B42" s="65" t="s">
        <v>276</v>
      </c>
      <c r="C42" s="14" t="s">
        <v>277</v>
      </c>
      <c r="D42" s="14" t="s">
        <v>278</v>
      </c>
      <c r="E42" s="14" t="s">
        <v>279</v>
      </c>
    </row>
    <row r="43" customFormat="false" ht="30" hidden="false" customHeight="true" outlineLevel="0" collapsed="false">
      <c r="B43" s="65" t="s">
        <v>280</v>
      </c>
      <c r="C43" s="14" t="s">
        <v>281</v>
      </c>
      <c r="D43" s="14" t="s">
        <v>282</v>
      </c>
      <c r="E43" s="14" t="s">
        <v>283</v>
      </c>
    </row>
    <row r="44" customFormat="false" ht="30" hidden="false" customHeight="true" outlineLevel="0" collapsed="false">
      <c r="B44" s="65" t="s">
        <v>284</v>
      </c>
      <c r="C44" s="14" t="s">
        <v>285</v>
      </c>
      <c r="D44" s="14" t="s">
        <v>286</v>
      </c>
      <c r="E44" s="14" t="s">
        <v>287</v>
      </c>
    </row>
    <row r="45" customFormat="false" ht="30" hidden="false" customHeight="true" outlineLevel="0" collapsed="false">
      <c r="B45" s="65" t="s">
        <v>288</v>
      </c>
      <c r="C45" s="14" t="s">
        <v>289</v>
      </c>
      <c r="D45" s="14" t="s">
        <v>290</v>
      </c>
      <c r="E45" s="14" t="s">
        <v>291</v>
      </c>
    </row>
    <row r="46" customFormat="false" ht="30" hidden="false" customHeight="true" outlineLevel="0" collapsed="false">
      <c r="B46" s="65" t="s">
        <v>292</v>
      </c>
      <c r="C46" s="14" t="s">
        <v>293</v>
      </c>
      <c r="D46" s="14" t="s">
        <v>294</v>
      </c>
      <c r="E46" s="14" t="s">
        <v>295</v>
      </c>
    </row>
    <row r="47" customFormat="false" ht="30" hidden="false" customHeight="true" outlineLevel="0" collapsed="false">
      <c r="B47" s="65" t="s">
        <v>296</v>
      </c>
      <c r="C47" s="14" t="s">
        <v>297</v>
      </c>
      <c r="D47" s="14" t="s">
        <v>298</v>
      </c>
      <c r="E47" s="14" t="s">
        <v>299</v>
      </c>
    </row>
    <row r="48" customFormat="false" ht="30" hidden="false" customHeight="true" outlineLevel="0" collapsed="false">
      <c r="B48" s="65" t="s">
        <v>300</v>
      </c>
      <c r="C48" s="14" t="s">
        <v>301</v>
      </c>
      <c r="D48" s="14" t="s">
        <v>302</v>
      </c>
      <c r="E48" s="14" t="s">
        <v>303</v>
      </c>
    </row>
    <row r="49" customFormat="false" ht="30" hidden="false" customHeight="true" outlineLevel="0" collapsed="false">
      <c r="B49" s="65" t="s">
        <v>304</v>
      </c>
      <c r="C49" s="14" t="s">
        <v>305</v>
      </c>
      <c r="D49" s="14" t="s">
        <v>306</v>
      </c>
      <c r="E49" s="14" t="s">
        <v>307</v>
      </c>
    </row>
    <row r="50" customFormat="false" ht="30" hidden="false" customHeight="true" outlineLevel="0" collapsed="false">
      <c r="B50" s="65" t="s">
        <v>308</v>
      </c>
      <c r="C50" s="14" t="s">
        <v>309</v>
      </c>
      <c r="D50" s="14" t="s">
        <v>310</v>
      </c>
      <c r="E50" s="14" t="s">
        <v>311</v>
      </c>
    </row>
    <row r="52" customFormat="false" ht="21.75" hidden="false" customHeight="true" outlineLevel="0" collapsed="false">
      <c r="B52" s="3" t="s">
        <v>312</v>
      </c>
    </row>
    <row r="53" customFormat="false" ht="15" hidden="false" customHeight="true" outlineLevel="0" collapsed="false">
      <c r="B53" s="66" t="s">
        <v>313</v>
      </c>
      <c r="C53" s="66"/>
      <c r="D53" s="66"/>
      <c r="E53" s="66"/>
    </row>
    <row r="54" customFormat="false" ht="21.75" hidden="false" customHeight="true" outlineLevel="0" collapsed="false">
      <c r="B54" s="4" t="s">
        <v>314</v>
      </c>
      <c r="C54" s="4"/>
      <c r="D54" s="4"/>
      <c r="E54" s="4"/>
    </row>
    <row r="55" customFormat="false" ht="21.75" hidden="false" customHeight="true" outlineLevel="0" collapsed="false">
      <c r="B55" s="4"/>
      <c r="C55" s="4"/>
      <c r="D55" s="4"/>
      <c r="E55" s="4"/>
    </row>
  </sheetData>
  <mergeCells count="25">
    <mergeCell ref="B1:E1"/>
    <mergeCell ref="B2:E2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B23:E23"/>
    <mergeCell ref="B25:C25"/>
    <mergeCell ref="D25:E25"/>
    <mergeCell ref="B26:C26"/>
    <mergeCell ref="D26:E26"/>
    <mergeCell ref="B27:C27"/>
    <mergeCell ref="D27:E27"/>
    <mergeCell ref="C30:E30"/>
    <mergeCell ref="C31:E31"/>
    <mergeCell ref="C32:E32"/>
    <mergeCell ref="C33:E33"/>
    <mergeCell ref="B53:E53"/>
    <mergeCell ref="B54:E55"/>
  </mergeCell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Курс «Управление запасами» · Дмитрий Фролов · урок 1.2 · SCM_1_2_ABC_XYZ_Template.xlsx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553D"/>
    <pageSetUpPr fitToPage="true"/>
  </sheetPr>
  <dimension ref="B1:V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5" min="4" style="0" width="12"/>
    <col collapsed="false" customWidth="true" hidden="false" outlineLevel="0" max="6" min="6" style="0" width="11"/>
    <col collapsed="false" customWidth="true" hidden="false" outlineLevel="0" max="7" min="7" style="0" width="33"/>
    <col collapsed="false" customWidth="true" hidden="false" outlineLevel="0" max="8" min="8" style="0" width="30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22" min="11" style="0" width="6"/>
  </cols>
  <sheetData>
    <row r="1" customFormat="false" ht="30" hidden="false" customHeight="true" outlineLevel="0" collapsed="false">
      <c r="B1" s="1" t="s">
        <v>315</v>
      </c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B2" s="2" t="s">
        <v>316</v>
      </c>
      <c r="C2" s="2"/>
      <c r="D2" s="2"/>
      <c r="E2" s="2"/>
      <c r="F2" s="2"/>
      <c r="G2" s="2"/>
      <c r="H2" s="2"/>
    </row>
    <row r="4" customFormat="false" ht="21.75" hidden="false" customHeight="true" outlineLevel="0" collapsed="false">
      <c r="B4" s="3" t="s">
        <v>317</v>
      </c>
    </row>
    <row r="5" customFormat="false" ht="19.5" hidden="false" customHeight="true" outlineLevel="0" collapsed="false">
      <c r="B5" s="4" t="s">
        <v>318</v>
      </c>
      <c r="C5" s="4"/>
      <c r="D5" s="4"/>
      <c r="E5" s="4"/>
      <c r="F5" s="4"/>
      <c r="G5" s="4"/>
      <c r="H5" s="4"/>
    </row>
    <row r="6" customFormat="false" ht="19.5" hidden="false" customHeight="true" outlineLevel="0" collapsed="false">
      <c r="B6" s="4"/>
      <c r="C6" s="4"/>
      <c r="D6" s="4"/>
      <c r="E6" s="4"/>
      <c r="F6" s="4"/>
      <c r="G6" s="4"/>
      <c r="H6" s="4"/>
    </row>
    <row r="7" customFormat="false" ht="30" hidden="false" customHeight="true" outlineLevel="0" collapsed="false">
      <c r="B7" s="12" t="s">
        <v>57</v>
      </c>
      <c r="C7" s="12" t="s">
        <v>319</v>
      </c>
      <c r="D7" s="12" t="s">
        <v>99</v>
      </c>
      <c r="E7" s="12" t="s">
        <v>320</v>
      </c>
      <c r="F7" s="12" t="s">
        <v>101</v>
      </c>
      <c r="G7" s="12" t="s">
        <v>321</v>
      </c>
      <c r="H7" s="12" t="s">
        <v>322</v>
      </c>
    </row>
    <row r="8" customFormat="false" ht="15" hidden="false" customHeight="false" outlineLevel="0" collapsed="false">
      <c r="B8" s="67" t="s">
        <v>323</v>
      </c>
      <c r="C8" s="68" t="n">
        <v>60</v>
      </c>
      <c r="D8" s="69"/>
      <c r="E8" s="69"/>
      <c r="F8" s="70"/>
      <c r="G8" s="14" t="str">
        <f aca="false">IF(AND($D8="",$E8=""),"",IF(AND(ISNUMBER($D8),ABS($D8-($C8/SUM($C$8:$C$10)*100))&lt;=0.051,ISNUMBER($E8),ABS($E8-(SUMIF($C$8:$C$10,"&gt;="&amp;$C8)/SUM($C$8:$C$10)*100))&lt;=0.051),"верно","ошибка: доля = "&amp;ROUND($C8/SUM($C$8:$C$10)*100,1)&amp;" %, накопл. = "&amp;ROUND(SUMIF($C$8:$C$10,"&gt;="&amp;$C8)/SUM($C$8:$C$10)*100,1)&amp;" %"))</f>
        <v/>
      </c>
      <c r="H8" s="14" t="str">
        <f aca="false">IF($F8="","",IF($F8=IF(SUMIF($C$8:$C$10,"&gt;="&amp;$C8)/SUM($C$8:$C$10)*100&lt;=80,"A",IF(SUMIF($C$8:$C$10,"&gt;="&amp;$C8)/SUM($C$8:$C$10)*100&lt;=95,"B","C")),"верно","ошибка: накопл. "&amp;ROUND(SUMIF($C$8:$C$10,"&gt;="&amp;$C8)/SUM($C$8:$C$10)*100,1)&amp;" % → группа "&amp;IF(SUMIF($C$8:$C$10,"&gt;="&amp;$C8)/SUM($C$8:$C$10)*100&lt;=80,"A",IF(SUMIF($C$8:$C$10,"&gt;="&amp;$C8)/SUM($C$8:$C$10)*100&lt;=95,"B","C"))))</f>
        <v/>
      </c>
    </row>
    <row r="9" customFormat="false" ht="15" hidden="false" customHeight="false" outlineLevel="0" collapsed="false">
      <c r="B9" s="67" t="s">
        <v>324</v>
      </c>
      <c r="C9" s="68" t="n">
        <v>25</v>
      </c>
      <c r="D9" s="69"/>
      <c r="E9" s="69"/>
      <c r="F9" s="70"/>
      <c r="G9" s="14" t="str">
        <f aca="false">IF(AND($D9="",$E9=""),"",IF(AND(ISNUMBER($D9),ABS($D9-($C9/SUM($C$8:$C$10)*100))&lt;=0.051,ISNUMBER($E9),ABS($E9-(SUMIF($C$8:$C$10,"&gt;="&amp;$C9)/SUM($C$8:$C$10)*100))&lt;=0.051),"верно","ошибка: доля = "&amp;ROUND($C9/SUM($C$8:$C$10)*100,1)&amp;" %, накопл. = "&amp;ROUND(SUMIF($C$8:$C$10,"&gt;="&amp;$C9)/SUM($C$8:$C$10)*100,1)&amp;" %"))</f>
        <v/>
      </c>
      <c r="H9" s="14" t="str">
        <f aca="false">IF($F9="","",IF($F9=IF(SUMIF($C$8:$C$10,"&gt;="&amp;$C9)/SUM($C$8:$C$10)*100&lt;=80,"A",IF(SUMIF($C$8:$C$10,"&gt;="&amp;$C9)/SUM($C$8:$C$10)*100&lt;=95,"B","C")),"верно","ошибка: накопл. "&amp;ROUND(SUMIF($C$8:$C$10,"&gt;="&amp;$C9)/SUM($C$8:$C$10)*100,1)&amp;" % → группа "&amp;IF(SUMIF($C$8:$C$10,"&gt;="&amp;$C9)/SUM($C$8:$C$10)*100&lt;=80,"A",IF(SUMIF($C$8:$C$10,"&gt;="&amp;$C9)/SUM($C$8:$C$10)*100&lt;=95,"B","C"))))</f>
        <v/>
      </c>
    </row>
    <row r="10" customFormat="false" ht="15" hidden="false" customHeight="false" outlineLevel="0" collapsed="false">
      <c r="B10" s="67" t="s">
        <v>325</v>
      </c>
      <c r="C10" s="68" t="n">
        <v>15</v>
      </c>
      <c r="D10" s="69"/>
      <c r="E10" s="69"/>
      <c r="F10" s="70"/>
      <c r="G10" s="14" t="str">
        <f aca="false">IF(AND($D10="",$E10=""),"",IF(AND(ISNUMBER($D10),ABS($D10-($C10/SUM($C$8:$C$10)*100))&lt;=0.051,ISNUMBER($E10),ABS($E10-(SUMIF($C$8:$C$10,"&gt;="&amp;$C10)/SUM($C$8:$C$10)*100))&lt;=0.051),"верно","ошибка: доля = "&amp;ROUND($C10/SUM($C$8:$C$10)*100,1)&amp;" %, накопл. = "&amp;ROUND(SUMIF($C$8:$C$10,"&gt;="&amp;$C10)/SUM($C$8:$C$10)*100,1)&amp;" %"))</f>
        <v/>
      </c>
      <c r="H10" s="14" t="str">
        <f aca="false">IF($F10="","",IF($F10=IF(SUMIF($C$8:$C$10,"&gt;="&amp;$C10)/SUM($C$8:$C$10)*100&lt;=80,"A",IF(SUMIF($C$8:$C$10,"&gt;="&amp;$C10)/SUM($C$8:$C$10)*100&lt;=95,"B","C")),"верно","ошибка: накопл. "&amp;ROUND(SUMIF($C$8:$C$10,"&gt;="&amp;$C10)/SUM($C$8:$C$10)*100,1)&amp;" % → группа "&amp;IF(SUMIF($C$8:$C$10,"&gt;="&amp;$C10)/SUM($C$8:$C$10)*100&lt;=80,"A",IF(SUMIF($C$8:$C$10,"&gt;="&amp;$C10)/SUM($C$8:$C$10)*100&lt;=95,"B","C"))))</f>
        <v/>
      </c>
    </row>
    <row r="11" customFormat="false" ht="15" hidden="false" customHeight="false" outlineLevel="0" collapsed="false">
      <c r="B11" s="71" t="s">
        <v>326</v>
      </c>
      <c r="C11" s="34" t="n">
        <f aca="false">SUM($C$8:$C$10)</f>
        <v>100</v>
      </c>
      <c r="D11" s="36" t="str">
        <f aca="false">IF(COUNT($D$8:$D$10)=0,"",SUM($D$8:$D$10))</f>
        <v/>
      </c>
      <c r="E11" s="21"/>
      <c r="F11" s="21"/>
      <c r="G11" s="21"/>
      <c r="H11" s="21"/>
    </row>
    <row r="13" customFormat="false" ht="27.75" hidden="false" customHeight="true" outlineLevel="0" collapsed="false">
      <c r="B13" s="12" t="s">
        <v>327</v>
      </c>
      <c r="C13" s="12" t="s">
        <v>328</v>
      </c>
      <c r="D13" s="12" t="s">
        <v>329</v>
      </c>
      <c r="E13" s="12" t="s">
        <v>330</v>
      </c>
      <c r="F13" s="12"/>
      <c r="G13" s="12"/>
      <c r="H13" s="12"/>
    </row>
    <row r="14" customFormat="false" ht="15" hidden="false" customHeight="false" outlineLevel="0" collapsed="false">
      <c r="B14" s="32" t="s">
        <v>331</v>
      </c>
      <c r="C14" s="68" t="n">
        <v>90</v>
      </c>
      <c r="D14" s="68" t="n">
        <v>100</v>
      </c>
      <c r="E14" s="68" t="n">
        <v>110</v>
      </c>
      <c r="F14" s="21"/>
      <c r="G14" s="21"/>
      <c r="H14" s="21"/>
    </row>
    <row r="16" customFormat="false" ht="15" hidden="false" customHeight="false" outlineLevel="0" collapsed="false">
      <c r="B16" s="72" t="s">
        <v>332</v>
      </c>
      <c r="C16" s="72"/>
      <c r="D16" s="73" t="s">
        <v>333</v>
      </c>
      <c r="E16" s="74"/>
      <c r="F16" s="75" t="s">
        <v>334</v>
      </c>
      <c r="G16" s="76" t="str">
        <f aca="false">IF($E16="","",IF(AND(ISNUMBER($E16),ABS($E16-(AVERAGE($C$14:$E$14)))&lt;=0.0051),"верно","ошибка: правильное значение "&amp;ROUND(AVERAGE($C$14:$E$14),2)&amp;" шт"))</f>
        <v/>
      </c>
    </row>
    <row r="17" customFormat="false" ht="15" hidden="false" customHeight="false" outlineLevel="0" collapsed="false">
      <c r="B17" s="72" t="s">
        <v>335</v>
      </c>
      <c r="C17" s="72"/>
      <c r="D17" s="73" t="s">
        <v>333</v>
      </c>
      <c r="E17" s="74"/>
      <c r="F17" s="75" t="s">
        <v>334</v>
      </c>
      <c r="G17" s="76" t="str">
        <f aca="false">IF($E17="","",IF(AND(ISNUMBER($E17),ABS($E17-(STDEVP($C$14:$E$14)))&lt;=0.0051),"верно","ошибка: правильное значение "&amp;ROUND(STDEVP($C$14:$E$14),2)&amp;" шт"))</f>
        <v/>
      </c>
    </row>
    <row r="18" customFormat="false" ht="15" hidden="false" customHeight="false" outlineLevel="0" collapsed="false">
      <c r="B18" s="72" t="s">
        <v>336</v>
      </c>
      <c r="C18" s="72"/>
      <c r="D18" s="73" t="s">
        <v>333</v>
      </c>
      <c r="E18" s="77"/>
      <c r="F18" s="75" t="s">
        <v>121</v>
      </c>
      <c r="G18" s="76" t="str">
        <f aca="false">IF($E18="","",IF(AND(ISNUMBER($E18),ABS($E18-(STDEVP($C$14:$E$14)/AVERAGE($C$14:$E$14)*100))&lt;=0.0051),"верно","ошибка: правильное значение "&amp;ROUND(STDEVP($C$14:$E$14)/AVERAGE($C$14:$E$14)*100,2)&amp;" %"))</f>
        <v/>
      </c>
    </row>
    <row r="19" customFormat="false" ht="15" hidden="false" customHeight="false" outlineLevel="0" collapsed="false">
      <c r="B19" s="72" t="s">
        <v>337</v>
      </c>
      <c r="C19" s="72"/>
      <c r="D19" s="73" t="s">
        <v>333</v>
      </c>
      <c r="E19" s="70"/>
      <c r="G19" s="76" t="str">
        <f aca="false">IF($E19="","",IF($E19=IF(STDEVP($C$14:$E$14)/AVERAGE($C$14:$E$14)*100&lt;=25,"X",IF(STDEVP($C$14:$E$14)/AVERAGE($C$14:$E$14)*100&lt;=50,"Y","Z")),"верно","ошибка: CV "&amp;ROUND(STDEVP($C$14:$E$14)/AVERAGE($C$14:$E$14)*100,2)&amp;" % → группа "&amp;IF(STDEVP($C$14:$E$14)/AVERAGE($C$14:$E$14)*100&lt;=25,"X",IF(STDEVP($C$14:$E$14)/AVERAGE($C$14:$E$14)*100&lt;=50,"Y","Z"))))</f>
        <v/>
      </c>
    </row>
    <row r="20" customFormat="false" ht="24" hidden="false" customHeight="true" outlineLevel="0" collapsed="false">
      <c r="B20" s="15" t="s">
        <v>338</v>
      </c>
      <c r="C20" s="15"/>
      <c r="D20" s="15"/>
      <c r="E20" s="15"/>
      <c r="F20" s="15"/>
      <c r="G20" s="15"/>
      <c r="H20" s="15"/>
    </row>
    <row r="22" customFormat="false" ht="21.75" hidden="false" customHeight="true" outlineLevel="0" collapsed="false">
      <c r="B22" s="3" t="s">
        <v>339</v>
      </c>
    </row>
    <row r="23" customFormat="false" ht="19.5" hidden="false" customHeight="true" outlineLevel="0" collapsed="false">
      <c r="B23" s="4" t="str">
        <f aca="false">IF(COUNTIF('Расчёт ABC-XYZ'!$A$5:$A$34,"SKU-004")=0,"Позиция попала в CZ: низкая доля в выручке и высокий разброс спроса. Коллега предлагает вывести товар из ассортимента. Что нужно проверить до решения и почему буква Z сама по себе не аргумент?","SKU-004 попал в CZ: "&amp;ROUND(INDEX('Расчёт ABC-XYZ'!$F$5:$F$34,MATCH("SKU-004",'Расчёт ABC-XYZ'!$A$5:$A$34,0)),1)&amp;" % выручки, CV "&amp;ROUND(INDEX('Расчёт ABC-XYZ'!$K$5:$K$34,MATCH("SKU-004",'Расчёт ABC-XYZ'!$A$5:$A$34,0)),1)&amp;" %. Коллега предлагает вывести товар из ассортимента. Что нужно проверить до решения и почему буква Z сама по себе не аргумент?")</f>
        <v>SKU-004 попал в CZ: 2.5 % выручки, CV 72.5 %. Коллега предлагает вывести товар из ассортимента. Что нужно проверить до решения и почему буква Z сама по себе не аргумент?</v>
      </c>
      <c r="C23" s="4"/>
      <c r="D23" s="4"/>
      <c r="E23" s="4"/>
      <c r="F23" s="4"/>
      <c r="G23" s="4"/>
      <c r="H23" s="4"/>
    </row>
    <row r="24" customFormat="false" ht="19.5" hidden="false" customHeight="true" outlineLevel="0" collapsed="false">
      <c r="B24" s="4"/>
      <c r="C24" s="4"/>
      <c r="D24" s="4"/>
      <c r="E24" s="4"/>
      <c r="F24" s="4"/>
      <c r="G24" s="4"/>
      <c r="H24" s="4"/>
    </row>
    <row r="25" customFormat="false" ht="27.75" hidden="false" customHeight="true" outlineLevel="0" collapsed="false">
      <c r="B25" s="12" t="s">
        <v>340</v>
      </c>
      <c r="C25" s="12" t="s">
        <v>341</v>
      </c>
      <c r="D25" s="12"/>
      <c r="E25" s="12"/>
      <c r="F25" s="12"/>
      <c r="G25" s="12" t="s">
        <v>342</v>
      </c>
      <c r="H25" s="12"/>
    </row>
    <row r="26" customFormat="false" ht="30" hidden="false" customHeight="true" outlineLevel="0" collapsed="false">
      <c r="B26" s="48" t="s">
        <v>343</v>
      </c>
      <c r="C26" s="78"/>
      <c r="D26" s="78"/>
      <c r="E26" s="78"/>
      <c r="F26" s="78"/>
      <c r="G26" s="79" t="s">
        <v>344</v>
      </c>
      <c r="H26" s="79"/>
    </row>
    <row r="27" customFormat="false" ht="30" hidden="false" customHeight="true" outlineLevel="0" collapsed="false">
      <c r="B27" s="48" t="s">
        <v>345</v>
      </c>
      <c r="C27" s="78"/>
      <c r="D27" s="78"/>
      <c r="E27" s="78"/>
      <c r="F27" s="78"/>
      <c r="G27" s="79" t="s">
        <v>346</v>
      </c>
      <c r="H27" s="79"/>
    </row>
    <row r="28" customFormat="false" ht="30" hidden="false" customHeight="true" outlineLevel="0" collapsed="false">
      <c r="B28" s="48" t="s">
        <v>347</v>
      </c>
      <c r="C28" s="78"/>
      <c r="D28" s="78"/>
      <c r="E28" s="78"/>
      <c r="F28" s="78"/>
      <c r="G28" s="79" t="s">
        <v>348</v>
      </c>
      <c r="H28" s="79"/>
    </row>
    <row r="29" customFormat="false" ht="21.75" hidden="false" customHeight="true" outlineLevel="0" collapsed="false">
      <c r="B29" s="80" t="s">
        <v>349</v>
      </c>
      <c r="C29" s="80"/>
      <c r="D29" s="80"/>
      <c r="E29" s="80"/>
      <c r="F29" s="70"/>
      <c r="G29" s="81" t="str">
        <f aca="false">IF($F29="","",IF($F29="Нет","верно","ошибка: Z говорит о разбросе, а не о ненужности товара — сначала критичность и экономика"))</f>
        <v/>
      </c>
      <c r="H29" s="81"/>
    </row>
    <row r="31" customFormat="false" ht="21.75" hidden="false" customHeight="true" outlineLevel="0" collapsed="false">
      <c r="B31" s="3" t="s">
        <v>350</v>
      </c>
    </row>
    <row r="32" customFormat="false" ht="19.5" hidden="false" customHeight="true" outlineLevel="0" collapsed="false">
      <c r="B32" s="4" t="s">
        <v>351</v>
      </c>
      <c r="C32" s="4"/>
      <c r="D32" s="4"/>
      <c r="E32" s="4"/>
      <c r="F32" s="4"/>
      <c r="G32" s="4"/>
      <c r="H32" s="4"/>
    </row>
    <row r="33" customFormat="false" ht="24" hidden="false" customHeight="true" outlineLevel="0" collapsed="false">
      <c r="B33" s="12" t="s">
        <v>57</v>
      </c>
      <c r="C33" s="12" t="s">
        <v>319</v>
      </c>
      <c r="D33" s="12" t="s">
        <v>99</v>
      </c>
      <c r="E33" s="12" t="s">
        <v>320</v>
      </c>
      <c r="F33" s="12" t="s">
        <v>101</v>
      </c>
      <c r="G33" s="12" t="s">
        <v>322</v>
      </c>
      <c r="H33" s="12"/>
    </row>
    <row r="34" customFormat="false" ht="15" hidden="false" customHeight="false" outlineLevel="0" collapsed="false">
      <c r="B34" s="67" t="s">
        <v>352</v>
      </c>
      <c r="C34" s="68" t="n">
        <v>50</v>
      </c>
      <c r="D34" s="26" t="n">
        <f aca="false">$C34/SUM($C$34:$C$36)*100</f>
        <v>50</v>
      </c>
      <c r="E34" s="26" t="n">
        <f aca="false">SUMIF($C$34:$C$36,"&gt;="&amp;$C34)/SUM($C$34:$C$36)*100</f>
        <v>50</v>
      </c>
      <c r="F34" s="70"/>
      <c r="G34" s="14" t="str">
        <f aca="false">IF($F34="","",IF($F34=IF(SUMIF($C$34:$C$36,"&gt;="&amp;$C34)/SUM($C$34:$C$36)*100&lt;=80,"A",IF(SUMIF($C$34:$C$36,"&gt;="&amp;$C34)/SUM($C$34:$C$36)*100&lt;=95,"B","C")),"верно","ошибка: накопл. "&amp;ROUND(SUMIF($C$34:$C$36,"&gt;="&amp;$C34)/SUM($C$34:$C$36)*100,1)&amp;" % → группа "&amp;IF(SUMIF($C$34:$C$36,"&gt;="&amp;$C34)/SUM($C$34:$C$36)*100&lt;=80,"A",IF(SUMIF($C$34:$C$36,"&gt;="&amp;$C34)/SUM($C$34:$C$36)*100&lt;=95,"B","C"))))</f>
        <v/>
      </c>
      <c r="H34" s="14"/>
    </row>
    <row r="35" customFormat="false" ht="15" hidden="false" customHeight="false" outlineLevel="0" collapsed="false">
      <c r="B35" s="67" t="s">
        <v>353</v>
      </c>
      <c r="C35" s="68" t="n">
        <v>25</v>
      </c>
      <c r="D35" s="26" t="n">
        <f aca="false">$C35/SUM($C$34:$C$36)*100</f>
        <v>25</v>
      </c>
      <c r="E35" s="26" t="n">
        <f aca="false">SUMIF($C$34:$C$36,"&gt;="&amp;$C35)/SUM($C$34:$C$36)*100</f>
        <v>100</v>
      </c>
      <c r="F35" s="70"/>
      <c r="G35" s="14" t="str">
        <f aca="false">IF($F35="","",IF($F35=IF(SUMIF($C$34:$C$36,"&gt;="&amp;$C35)/SUM($C$34:$C$36)*100&lt;=80,"A",IF(SUMIF($C$34:$C$36,"&gt;="&amp;$C35)/SUM($C$34:$C$36)*100&lt;=95,"B","C")),"верно","ошибка: накопл. "&amp;ROUND(SUMIF($C$34:$C$36,"&gt;="&amp;$C35)/SUM($C$34:$C$36)*100,1)&amp;" % → группа "&amp;IF(SUMIF($C$34:$C$36,"&gt;="&amp;$C35)/SUM($C$34:$C$36)*100&lt;=80,"A",IF(SUMIF($C$34:$C$36,"&gt;="&amp;$C35)/SUM($C$34:$C$36)*100&lt;=95,"B","C"))))</f>
        <v/>
      </c>
      <c r="H35" s="14"/>
    </row>
    <row r="36" customFormat="false" ht="15" hidden="false" customHeight="false" outlineLevel="0" collapsed="false">
      <c r="B36" s="67" t="s">
        <v>354</v>
      </c>
      <c r="C36" s="68" t="n">
        <v>25</v>
      </c>
      <c r="D36" s="26" t="n">
        <f aca="false">$C36/SUM($C$34:$C$36)*100</f>
        <v>25</v>
      </c>
      <c r="E36" s="26" t="n">
        <f aca="false">SUMIF($C$34:$C$36,"&gt;="&amp;$C36)/SUM($C$34:$C$36)*100</f>
        <v>100</v>
      </c>
      <c r="F36" s="70"/>
      <c r="G36" s="14" t="str">
        <f aca="false">IF($F36="","",IF($F36=IF(SUMIF($C$34:$C$36,"&gt;="&amp;$C36)/SUM($C$34:$C$36)*100&lt;=80,"A",IF(SUMIF($C$34:$C$36,"&gt;="&amp;$C36)/SUM($C$34:$C$36)*100&lt;=95,"B","C")),"верно","ошибка: накопл. "&amp;ROUND(SUMIF($C$34:$C$36,"&gt;="&amp;$C36)/SUM($C$34:$C$36)*100,1)&amp;" % → группа "&amp;IF(SUMIF($C$34:$C$36,"&gt;="&amp;$C36)/SUM($C$34:$C$36)*100&lt;=80,"A",IF(SUMIF($C$34:$C$36,"&gt;="&amp;$C36)/SUM($C$34:$C$36)*100&lt;=95,"B","C"))))</f>
        <v/>
      </c>
      <c r="H36" s="14"/>
    </row>
    <row r="37" customFormat="false" ht="19.5" hidden="false" customHeight="true" outlineLevel="0" collapsed="false">
      <c r="B37" s="15" t="s">
        <v>355</v>
      </c>
      <c r="C37" s="15"/>
      <c r="D37" s="15"/>
      <c r="E37" s="15"/>
      <c r="F37" s="15"/>
      <c r="G37" s="15"/>
      <c r="H37" s="15"/>
    </row>
    <row r="39" customFormat="false" ht="21.75" hidden="false" customHeight="true" outlineLevel="0" collapsed="false">
      <c r="B39" s="12" t="s">
        <v>356</v>
      </c>
      <c r="C39" s="12" t="s">
        <v>357</v>
      </c>
      <c r="D39" s="12"/>
      <c r="E39" s="12"/>
      <c r="F39" s="12"/>
      <c r="G39" s="12" t="s">
        <v>358</v>
      </c>
      <c r="H39" s="12" t="s">
        <v>359</v>
      </c>
      <c r="J39" s="82" t="s">
        <v>360</v>
      </c>
      <c r="K39" s="83" t="s">
        <v>361</v>
      </c>
      <c r="L39" s="83" t="s">
        <v>362</v>
      </c>
      <c r="M39" s="83" t="s">
        <v>363</v>
      </c>
      <c r="N39" s="83" t="s">
        <v>364</v>
      </c>
      <c r="O39" s="83" t="s">
        <v>365</v>
      </c>
      <c r="P39" s="83" t="s">
        <v>366</v>
      </c>
      <c r="Q39" s="83" t="s">
        <v>367</v>
      </c>
      <c r="R39" s="83" t="s">
        <v>368</v>
      </c>
      <c r="S39" s="83" t="s">
        <v>369</v>
      </c>
      <c r="T39" s="83" t="s">
        <v>370</v>
      </c>
      <c r="U39" s="83" t="s">
        <v>371</v>
      </c>
      <c r="V39" s="83" t="s">
        <v>372</v>
      </c>
    </row>
    <row r="40" customFormat="false" ht="21.75" hidden="false" customHeight="true" outlineLevel="0" collapsed="false">
      <c r="B40" s="48" t="s">
        <v>373</v>
      </c>
      <c r="C40" s="32" t="s">
        <v>374</v>
      </c>
      <c r="D40" s="32"/>
      <c r="E40" s="32"/>
      <c r="F40" s="32"/>
      <c r="G40" s="77"/>
      <c r="H40" s="14" t="str">
        <f aca="false">IF($G40="","",IF(AND(ISNUMBER($G40),ABS($G40-(STDEVP($K$40:$V$40)/AVERAGE($K$40:$V$40)*100))&lt;=0.0051),"верно","ошибка: CV = "&amp;ROUND(STDEVP($K$40:$V$40)/AVERAGE($K$40:$V$40)*100,2)&amp;" % → группа X"))</f>
        <v/>
      </c>
      <c r="J40" s="32" t="s">
        <v>375</v>
      </c>
      <c r="K40" s="84" t="n">
        <v>100</v>
      </c>
      <c r="L40" s="84" t="n">
        <v>100</v>
      </c>
      <c r="M40" s="84" t="n">
        <v>100</v>
      </c>
      <c r="N40" s="84" t="n">
        <v>100</v>
      </c>
      <c r="O40" s="84" t="n">
        <v>100</v>
      </c>
      <c r="P40" s="84" t="n">
        <v>100</v>
      </c>
      <c r="Q40" s="84" t="n">
        <v>100</v>
      </c>
      <c r="R40" s="84" t="n">
        <v>100</v>
      </c>
      <c r="S40" s="84" t="n">
        <v>100</v>
      </c>
      <c r="T40" s="84" t="n">
        <v>100</v>
      </c>
      <c r="U40" s="84" t="n">
        <v>100</v>
      </c>
      <c r="V40" s="84" t="n">
        <v>100</v>
      </c>
    </row>
    <row r="41" customFormat="false" ht="21.75" hidden="false" customHeight="true" outlineLevel="0" collapsed="false">
      <c r="B41" s="48" t="s">
        <v>376</v>
      </c>
      <c r="C41" s="32" t="s">
        <v>377</v>
      </c>
      <c r="D41" s="32"/>
      <c r="E41" s="32"/>
      <c r="F41" s="32"/>
      <c r="G41" s="70"/>
      <c r="H41" s="14" t="str">
        <f aca="false">IF($G41="","",IF($G41=IF(AVERAGE($K$41:$V$41)&gt;0,ROUND(STDEVP($K$41:$V$41)/AVERAGE($K$41:$V$41)*100,2)&amp;"","n.a."),"верно","ошибка: столбец K покажет "&amp;IF(AVERAGE($K$41:$V$41)&gt;0,ROUND(STDEVP($K$41:$V$41)/AVERAGE($K$41:$V$41)*100,2)&amp;"","n.a.")))</f>
        <v/>
      </c>
      <c r="J41" s="32" t="s">
        <v>378</v>
      </c>
      <c r="K41" s="84" t="n">
        <v>0</v>
      </c>
      <c r="L41" s="84" t="n">
        <v>0</v>
      </c>
      <c r="M41" s="84" t="n">
        <v>0</v>
      </c>
      <c r="N41" s="84" t="n">
        <v>0</v>
      </c>
      <c r="O41" s="84" t="n">
        <v>0</v>
      </c>
      <c r="P41" s="84" t="n">
        <v>0</v>
      </c>
      <c r="Q41" s="84" t="n">
        <v>0</v>
      </c>
      <c r="R41" s="84" t="n">
        <v>0</v>
      </c>
      <c r="S41" s="84" t="n">
        <v>0</v>
      </c>
      <c r="T41" s="84" t="n">
        <v>0</v>
      </c>
      <c r="U41" s="84" t="n">
        <v>0</v>
      </c>
      <c r="V41" s="84" t="n">
        <v>0</v>
      </c>
    </row>
    <row r="43" customFormat="false" ht="24" hidden="false" customHeight="true" outlineLevel="0" collapsed="false">
      <c r="B43" s="15" t="s">
        <v>379</v>
      </c>
      <c r="C43" s="15"/>
      <c r="D43" s="15"/>
      <c r="E43" s="15"/>
      <c r="F43" s="15"/>
      <c r="G43" s="15"/>
      <c r="H43" s="15"/>
    </row>
    <row r="44" customFormat="false" ht="24" hidden="false" customHeight="true" outlineLevel="0" collapsed="false">
      <c r="B44" s="15"/>
      <c r="C44" s="15"/>
      <c r="D44" s="15"/>
      <c r="E44" s="15"/>
      <c r="F44" s="15"/>
      <c r="G44" s="15"/>
      <c r="H44" s="15"/>
    </row>
  </sheetData>
  <mergeCells count="31">
    <mergeCell ref="B1:H1"/>
    <mergeCell ref="B2:H2"/>
    <mergeCell ref="B5:H6"/>
    <mergeCell ref="F13:H13"/>
    <mergeCell ref="F14:H14"/>
    <mergeCell ref="B16:C16"/>
    <mergeCell ref="B17:C17"/>
    <mergeCell ref="B18:C18"/>
    <mergeCell ref="B19:C19"/>
    <mergeCell ref="B20:H20"/>
    <mergeCell ref="B23:H24"/>
    <mergeCell ref="C25:F25"/>
    <mergeCell ref="G25:H25"/>
    <mergeCell ref="C26:F26"/>
    <mergeCell ref="G26:H26"/>
    <mergeCell ref="C27:F27"/>
    <mergeCell ref="G27:H27"/>
    <mergeCell ref="C28:F28"/>
    <mergeCell ref="G28:H28"/>
    <mergeCell ref="B29:E29"/>
    <mergeCell ref="G29:H29"/>
    <mergeCell ref="B32:H32"/>
    <mergeCell ref="G33:H33"/>
    <mergeCell ref="G34:H34"/>
    <mergeCell ref="G35:H35"/>
    <mergeCell ref="G36:H36"/>
    <mergeCell ref="B37:H37"/>
    <mergeCell ref="C39:F39"/>
    <mergeCell ref="C40:F40"/>
    <mergeCell ref="C41:F41"/>
    <mergeCell ref="B43:H44"/>
  </mergeCells>
  <dataValidations count="5">
    <dataValidation allowBlank="true" errorStyle="stop" operator="between" showDropDown="false" showErrorMessage="false" showInputMessage="false" sqref="F8:F10" type="list">
      <formula1>"A,B,C"</formula1>
      <formula2>0</formula2>
    </dataValidation>
    <dataValidation allowBlank="true" errorStyle="stop" operator="between" showDropDown="false" showErrorMessage="false" showInputMessage="false" sqref="E19" type="list">
      <formula1>"X,Y,Z"</formula1>
      <formula2>0</formula2>
    </dataValidation>
    <dataValidation allowBlank="true" errorStyle="stop" operator="between" showDropDown="false" showErrorMessage="false" showInputMessage="false" sqref="F29" type="list">
      <formula1>"Да,Нет"</formula1>
      <formula2>0</formula2>
    </dataValidation>
    <dataValidation allowBlank="true" errorStyle="stop" operator="between" showDropDown="false" showErrorMessage="false" showInputMessage="false" sqref="F34:F36" type="list">
      <formula1>"A,B,C"</formula1>
      <formula2>0</formula2>
    </dataValidation>
    <dataValidation allowBlank="true" errorStyle="stop" operator="between" showDropDown="false" showErrorMessage="false" showInputMessage="false" sqref="G41" type="list">
      <formula1>"0,X,n.a."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Курс «Управление запасами» · Дмитрий Фролов · урок 1.2 · SCM_1_2_ABC_XYZ_Template.xlsx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2026-09-19T05:36:30Z</dcterms:created>
  <dc:creator>openpyxl</dc:creator>
  <dc:description/>
  <dc:language>en-US</dc:language>
  <cp:lastModifiedBy/>
  <dcterms:modified xsi:type="dcterms:W3CDTF">2026-09-19T05:36:32Z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